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Administrador\Desktop\NUEVO DECRETO-2026\"/>
    </mc:Choice>
  </mc:AlternateContent>
  <xr:revisionPtr revIDLastSave="0" documentId="8_{62074A5A-E494-43B6-BC5C-1DD4A2BFA0D1}" xr6:coauthVersionLast="47" xr6:coauthVersionMax="47" xr10:uidLastSave="{00000000-0000-0000-0000-000000000000}"/>
  <workbookProtection workbookAlgorithmName="SHA-512" workbookHashValue="Ex7c0zbIKPZ8s1foxMfOhJht9Cj0UPG4wNwl0uSKmpkYoDW3xNsEUls6qibWObc9xV88QSmlg1pgByKSdX/mBw==" workbookSaltValue="eriv2IGFmfIaXKD0X6H09Q==" workbookSpinCount="100000" lockStructure="1"/>
  <bookViews>
    <workbookView xWindow="-108" yWindow="-108" windowWidth="23256" windowHeight="12576" tabRatio="565" xr2:uid="{00000000-000D-0000-FFFF-FFFF00000000}"/>
  </bookViews>
  <sheets>
    <sheet name="INICIO" sheetId="13" r:id="rId1"/>
    <sheet name="Ayuda" sheetId="35" r:id="rId2"/>
    <sheet name="FORMULARIO" sheetId="34" r:id="rId3"/>
    <sheet name="ANEXO" sheetId="3" state="hidden" r:id="rId4"/>
    <sheet name="LIQUIDACIÓN-GASTOS" sheetId="38" r:id="rId5"/>
    <sheet name="CALCULOS DE LAS DIETAS" sheetId="33" state="hidden" r:id="rId6"/>
    <sheet name="Renuncia" sheetId="28" r:id="rId7"/>
    <sheet name="CALCULO NUEVO DECRETO" sheetId="37" state="hidden" r:id="rId8"/>
    <sheet name="VARIOS PAÍSES EXTRANJERO" sheetId="14" state="hidden" r:id="rId9"/>
    <sheet name="INSTRUCCIONES" sheetId="4" state="hidden" r:id="rId10"/>
    <sheet name="Información de interés" sheetId="17" r:id="rId11"/>
    <sheet name="IMPRIMIR EN UN  MAC" sheetId="32" r:id="rId12"/>
    <sheet name="Declaracion responsable" sheetId="21" r:id="rId13"/>
    <sheet name="KM" sheetId="15" r:id="rId14"/>
    <sheet name="CONFERENCIANTES" sheetId="24" r:id="rId15"/>
    <sheet name="IRPF" sheetId="26" r:id="rId16"/>
  </sheets>
  <definedNames>
    <definedName name="_xlnm._FilterDatabase" localSheetId="3" hidden="1">ANEXO!$AQ$4:$AS$180</definedName>
    <definedName name="_xlnm._FilterDatabase" localSheetId="2" hidden="1">FORMULARIO!$K$298:$M$345</definedName>
    <definedName name="A">'LIQUIDACIÓN-GASTOS'!$Y:$Y</definedName>
    <definedName name="_xlnm.Print_Area" localSheetId="14">CONFERENCIANTES!$B$1:$I$90</definedName>
    <definedName name="_xlnm.Print_Area" localSheetId="2">FORMULARIO!$BB$2:$BM$2</definedName>
    <definedName name="_xlnm.Print_Area" localSheetId="4">'LIQUIDACIÓN-GASTOS'!$AC$1:$AM$92</definedName>
    <definedName name="_xlnm.Print_Area" localSheetId="6">Renuncia!$A$1:$H$53</definedName>
    <definedName name="_xlnm.Print_Area" localSheetId="8">'VARIOS PAÍSES EXTRANJERO'!$CQ$1:$CX$97</definedName>
    <definedName name="BORRADOR">ANEXO!$AP$2:$AP$180</definedName>
    <definedName name="EXPERIMENTALLINEA2">ANEXO!$AQ$2:$AQ$69</definedName>
    <definedName name="NORMATIVA">ANEXO!$AO$2:$AO$101</definedName>
    <definedName name="NORMATIVAS">ANEXO!$AO$3:$AO$101</definedName>
    <definedName name="PAISES">ANEXO!$A$2:$A$100</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B3" i="34" l="1"/>
  <c r="G207" i="3"/>
  <c r="F45" i="28"/>
  <c r="BD34" i="28"/>
  <c r="V20" i="34"/>
  <c r="C406" i="3"/>
  <c r="D406" i="3" s="1"/>
  <c r="C405" i="3"/>
  <c r="D405" i="3" s="1"/>
  <c r="C404" i="3"/>
  <c r="D404" i="3" s="1"/>
  <c r="Z22" i="34"/>
  <c r="H54" i="34"/>
  <c r="P51" i="3"/>
  <c r="P52" i="3"/>
  <c r="P53" i="3"/>
  <c r="P54" i="3"/>
  <c r="R53" i="3"/>
  <c r="R54" i="3"/>
  <c r="E212" i="3" l="1"/>
  <c r="AD69" i="38"/>
  <c r="AF67" i="38" s="1"/>
  <c r="AD70" i="38"/>
  <c r="AD47" i="38"/>
  <c r="AK45" i="38" l="1"/>
  <c r="AL76" i="38"/>
  <c r="AF70" i="38"/>
  <c r="AL69" i="38"/>
  <c r="AF52" i="38"/>
  <c r="AK46" i="38"/>
  <c r="AE47" i="38"/>
  <c r="AL47" i="38"/>
  <c r="AE48" i="38"/>
  <c r="AH50" i="38"/>
  <c r="AF45" i="38"/>
  <c r="AG2" i="3"/>
  <c r="AR53" i="38" l="1"/>
  <c r="AP53" i="38"/>
  <c r="AU53" i="38"/>
  <c r="AQ53" i="38"/>
  <c r="E406" i="3"/>
  <c r="U55" i="3"/>
  <c r="U56" i="3"/>
  <c r="U54" i="3"/>
  <c r="U52" i="3"/>
  <c r="U53" i="3"/>
  <c r="I101" i="38"/>
  <c r="I2" i="38"/>
  <c r="B101" i="38"/>
  <c r="B2" i="38"/>
  <c r="C100" i="38"/>
  <c r="C1" i="38"/>
  <c r="B100" i="38"/>
  <c r="B1" i="38"/>
  <c r="AL1" i="38"/>
  <c r="AM1" i="38"/>
  <c r="AS53" i="38" l="1"/>
  <c r="H9" i="28"/>
  <c r="G9" i="28"/>
  <c r="H69" i="34" l="1"/>
  <c r="K24" i="38"/>
  <c r="K22" i="38"/>
  <c r="AN55" i="38" l="1"/>
  <c r="D27" i="28"/>
  <c r="B27" i="28"/>
  <c r="D23" i="28"/>
  <c r="B23" i="28"/>
  <c r="D19" i="28"/>
  <c r="B19" i="28"/>
  <c r="J24" i="38"/>
  <c r="N24" i="38"/>
  <c r="M24" i="38"/>
  <c r="N23" i="38"/>
  <c r="M23" i="38"/>
  <c r="J23" i="38"/>
  <c r="K23" i="38"/>
  <c r="N22" i="38"/>
  <c r="M22" i="38"/>
  <c r="J22" i="38"/>
  <c r="AM21" i="38"/>
  <c r="AF21" i="38"/>
  <c r="T13" i="34"/>
  <c r="H28" i="34" s="1"/>
  <c r="O20" i="38" l="1"/>
  <c r="J16" i="38"/>
  <c r="J15" i="38"/>
  <c r="J14" i="38"/>
  <c r="J13" i="38"/>
  <c r="N16" i="38"/>
  <c r="N15" i="38"/>
  <c r="N14" i="38"/>
  <c r="N13" i="38"/>
  <c r="N12" i="38"/>
  <c r="J12" i="38"/>
  <c r="C13" i="38" l="1"/>
  <c r="AD25" i="38" l="1"/>
  <c r="AD36" i="38"/>
  <c r="AL39" i="38" s="1"/>
  <c r="AD18" i="38"/>
  <c r="AD17" i="38"/>
  <c r="AK24" i="38" l="1"/>
  <c r="AK23" i="38"/>
  <c r="AK36" i="38"/>
  <c r="AH39" i="38"/>
  <c r="AF41" i="38"/>
  <c r="AM28" i="38"/>
  <c r="AN29" i="38" s="1"/>
  <c r="AH28" i="38"/>
  <c r="AL28" i="38"/>
  <c r="AF30" i="38"/>
  <c r="AK17" i="38"/>
  <c r="AU78" i="38"/>
  <c r="D55" i="38"/>
  <c r="B87" i="38"/>
  <c r="K87" i="38"/>
  <c r="P92" i="38" s="1"/>
  <c r="B75" i="38"/>
  <c r="K75" i="38"/>
  <c r="K63" i="38"/>
  <c r="B63" i="38"/>
  <c r="AQ33" i="38" l="1"/>
  <c r="AU33" i="38"/>
  <c r="AP33" i="38"/>
  <c r="AR33" i="38"/>
  <c r="P80" i="38"/>
  <c r="H63" i="38"/>
  <c r="B56" i="38"/>
  <c r="B38" i="38"/>
  <c r="B26" i="38"/>
  <c r="B50" i="38"/>
  <c r="B14" i="38"/>
  <c r="U2" i="3"/>
  <c r="AD37" i="38"/>
  <c r="AF37" i="38" s="1"/>
  <c r="AI6" i="38"/>
  <c r="V21" i="34"/>
  <c r="AF17" i="3"/>
  <c r="AD26" i="38"/>
  <c r="AN26" i="38"/>
  <c r="AN25" i="38"/>
  <c r="AD48" i="38"/>
  <c r="AU54" i="38" s="1"/>
  <c r="AT53" i="38" s="1"/>
  <c r="P75" i="38"/>
  <c r="AD59" i="38"/>
  <c r="AD58" i="38"/>
  <c r="P87" i="38"/>
  <c r="AO73" i="38"/>
  <c r="AO61" i="38"/>
  <c r="AO51" i="38"/>
  <c r="AO39" i="38"/>
  <c r="AN35" i="38"/>
  <c r="AO28" i="38"/>
  <c r="AN24" i="38"/>
  <c r="AN7" i="38"/>
  <c r="AK21" i="38"/>
  <c r="AN19" i="38" s="1"/>
  <c r="AJ19" i="38"/>
  <c r="AJ18" i="38"/>
  <c r="AH19" i="38"/>
  <c r="C42" i="28" s="1"/>
  <c r="AF19" i="38"/>
  <c r="C40" i="28" s="1"/>
  <c r="AD19" i="38"/>
  <c r="C38" i="28" s="1"/>
  <c r="AH18" i="38"/>
  <c r="C41" i="28" s="1"/>
  <c r="AF18" i="38"/>
  <c r="C39" i="28" s="1"/>
  <c r="AF26" i="38" l="1"/>
  <c r="AU34" i="38"/>
  <c r="AF48" i="38"/>
  <c r="E404" i="3" s="1"/>
  <c r="AN18" i="38"/>
  <c r="AK56" i="38"/>
  <c r="AU64" i="38" s="1"/>
  <c r="AE59" i="38"/>
  <c r="AF63" i="38"/>
  <c r="AH61" i="38"/>
  <c r="AE58" i="38"/>
  <c r="AK57" i="38"/>
  <c r="AU65" i="38" s="1"/>
  <c r="AL58" i="38"/>
  <c r="AF56" i="38"/>
  <c r="F390" i="3"/>
  <c r="B389" i="3" s="1"/>
  <c r="D389" i="3" s="1"/>
  <c r="E7" i="28"/>
  <c r="AN68" i="38"/>
  <c r="A24" i="38"/>
  <c r="L86" i="38"/>
  <c r="C86" i="38"/>
  <c r="K86" i="38"/>
  <c r="B86" i="38"/>
  <c r="L74" i="38"/>
  <c r="C74" i="38"/>
  <c r="K74" i="38"/>
  <c r="L62" i="38"/>
  <c r="C62" i="38"/>
  <c r="K62" i="38"/>
  <c r="B62" i="38"/>
  <c r="B74" i="38"/>
  <c r="C55" i="38"/>
  <c r="C49" i="38"/>
  <c r="B55" i="38"/>
  <c r="B49" i="38"/>
  <c r="C37" i="38"/>
  <c r="B37" i="38"/>
  <c r="AR64" i="38" l="1"/>
  <c r="AQ64" i="38"/>
  <c r="AP64" i="38"/>
  <c r="B388" i="3"/>
  <c r="D388" i="3" s="1"/>
  <c r="F50" i="38"/>
  <c r="F56" i="38"/>
  <c r="AS64" i="38" l="1"/>
  <c r="AT64" i="38" s="1"/>
  <c r="C25" i="38"/>
  <c r="B25" i="38"/>
  <c r="H144" i="34" l="1"/>
  <c r="B13" i="38"/>
  <c r="AN66" i="38" l="1"/>
  <c r="X19" i="34"/>
  <c r="F37" i="24" l="1"/>
  <c r="F36" i="24"/>
  <c r="D30" i="24"/>
  <c r="W19" i="34" l="1"/>
  <c r="T35" i="34" s="1"/>
  <c r="T33" i="34" l="1"/>
  <c r="T34" i="34"/>
  <c r="T26" i="34"/>
  <c r="T28" i="34"/>
  <c r="T32" i="34"/>
  <c r="T39" i="34"/>
  <c r="T43" i="34"/>
  <c r="T47" i="34"/>
  <c r="T51" i="34"/>
  <c r="T23" i="34"/>
  <c r="T29" i="34"/>
  <c r="T36" i="34"/>
  <c r="T40" i="34"/>
  <c r="T44" i="34"/>
  <c r="T48" i="34"/>
  <c r="T52" i="34"/>
  <c r="T27" i="34"/>
  <c r="T30" i="34"/>
  <c r="T37" i="34"/>
  <c r="T41" i="34"/>
  <c r="T45" i="34"/>
  <c r="T49" i="34"/>
  <c r="T25" i="34"/>
  <c r="T31" i="34"/>
  <c r="T38" i="34"/>
  <c r="T46" i="34"/>
  <c r="T50" i="34"/>
  <c r="T53" i="34"/>
  <c r="T24" i="34"/>
  <c r="T42" i="34"/>
  <c r="R33" i="34"/>
  <c r="U51" i="3"/>
  <c r="AF7" i="3"/>
  <c r="W18" i="34"/>
  <c r="Y19" i="34"/>
  <c r="T19" i="34" l="1"/>
  <c r="F9" i="34" s="1"/>
  <c r="AC98" i="38" s="1"/>
  <c r="AA21" i="34" l="1"/>
  <c r="Y21" i="34"/>
  <c r="Y20" i="34"/>
  <c r="I2" i="37" l="1"/>
  <c r="J2" i="37" s="1"/>
  <c r="U21" i="3" l="1"/>
  <c r="U47" i="3"/>
  <c r="U50" i="3"/>
  <c r="U48" i="3"/>
  <c r="U49" i="3"/>
  <c r="D207" i="3"/>
  <c r="W18" i="3"/>
  <c r="R18" i="3"/>
  <c r="U37" i="3"/>
  <c r="U41" i="3"/>
  <c r="U45" i="3"/>
  <c r="U27" i="3"/>
  <c r="U25" i="3"/>
  <c r="U4" i="3"/>
  <c r="U18" i="3"/>
  <c r="U36" i="3"/>
  <c r="U42" i="3"/>
  <c r="U33" i="3"/>
  <c r="U30" i="3"/>
  <c r="U5" i="3"/>
  <c r="U9" i="3"/>
  <c r="U13" i="3"/>
  <c r="U17" i="3"/>
  <c r="P19" i="3"/>
  <c r="U28" i="3"/>
  <c r="U7" i="3"/>
  <c r="U11" i="3"/>
  <c r="U19" i="3"/>
  <c r="P18" i="3"/>
  <c r="U40" i="3"/>
  <c r="U46" i="3"/>
  <c r="U3" i="3"/>
  <c r="U8" i="3"/>
  <c r="U16" i="3"/>
  <c r="R19" i="3"/>
  <c r="U38" i="3"/>
  <c r="U43" i="3"/>
  <c r="U26" i="3"/>
  <c r="U6" i="3"/>
  <c r="U10" i="3"/>
  <c r="U14" i="3"/>
  <c r="W19" i="3"/>
  <c r="U34" i="3"/>
  <c r="U39" i="3"/>
  <c r="U44" i="3"/>
  <c r="U22" i="3"/>
  <c r="U15" i="3"/>
  <c r="U35" i="3"/>
  <c r="U29" i="3"/>
  <c r="U12" i="3"/>
  <c r="AF2" i="38" l="1"/>
  <c r="J27" i="34" s="1"/>
  <c r="J1" i="34"/>
  <c r="B207" i="3" l="1"/>
  <c r="BB1" i="3"/>
  <c r="BC1" i="3" s="1"/>
  <c r="A390" i="3"/>
  <c r="M12" i="38"/>
  <c r="G57" i="34" s="1"/>
  <c r="M15" i="38"/>
  <c r="C151" i="34" s="1"/>
  <c r="E100" i="38"/>
  <c r="Q24" i="38"/>
  <c r="M13" i="38"/>
  <c r="I26" i="38" s="1"/>
  <c r="F36" i="38" s="1"/>
  <c r="O24" i="38"/>
  <c r="I50" i="38"/>
  <c r="M16" i="38"/>
  <c r="I87" i="38" s="1"/>
  <c r="P20" i="38"/>
  <c r="AN57" i="38"/>
  <c r="M14" i="38"/>
  <c r="C73" i="34" s="1"/>
  <c r="R52" i="3"/>
  <c r="R51" i="3"/>
  <c r="C73" i="24"/>
  <c r="C67" i="24"/>
  <c r="B69" i="24"/>
  <c r="C70" i="24"/>
  <c r="I1" i="34"/>
  <c r="F96" i="38" l="1"/>
  <c r="B408" i="3"/>
  <c r="F398" i="3"/>
  <c r="C212" i="3"/>
  <c r="F363" i="3"/>
  <c r="F330" i="3"/>
  <c r="F293" i="3"/>
  <c r="F270" i="3"/>
  <c r="F251" i="3"/>
  <c r="F215" i="3"/>
  <c r="D366" i="3"/>
  <c r="D334" i="3"/>
  <c r="D298" i="3"/>
  <c r="F345" i="3"/>
  <c r="F351" i="3"/>
  <c r="F318" i="3"/>
  <c r="F286" i="3"/>
  <c r="F263" i="3"/>
  <c r="F242" i="3"/>
  <c r="D365" i="3"/>
  <c r="D333" i="3"/>
  <c r="D296" i="3"/>
  <c r="D275" i="3"/>
  <c r="D254" i="3"/>
  <c r="D219" i="3"/>
  <c r="C368" i="3"/>
  <c r="C334" i="3"/>
  <c r="C298" i="3"/>
  <c r="C278" i="3"/>
  <c r="C255" i="3"/>
  <c r="C220" i="3"/>
  <c r="F366" i="3"/>
  <c r="F333" i="3"/>
  <c r="F296" i="3"/>
  <c r="C252" i="3"/>
  <c r="C282" i="3"/>
  <c r="C322" i="3"/>
  <c r="C365" i="3"/>
  <c r="D230" i="3"/>
  <c r="D265" i="3"/>
  <c r="D307" i="3"/>
  <c r="D373" i="3"/>
  <c r="F256" i="3"/>
  <c r="F326" i="3"/>
  <c r="C259" i="3"/>
  <c r="C333" i="3"/>
  <c r="D217" i="3"/>
  <c r="D258" i="3"/>
  <c r="D293" i="3"/>
  <c r="D362" i="3"/>
  <c r="F284" i="3"/>
  <c r="C261" i="3"/>
  <c r="C385" i="3"/>
  <c r="D285" i="3"/>
  <c r="F261" i="3"/>
  <c r="C235" i="3"/>
  <c r="C296" i="3"/>
  <c r="F235" i="3"/>
  <c r="F365" i="3"/>
  <c r="C269" i="3"/>
  <c r="C328" i="3"/>
  <c r="D213" i="3"/>
  <c r="D278" i="3"/>
  <c r="D363" i="3"/>
  <c r="F274" i="3"/>
  <c r="C230" i="3"/>
  <c r="C263" i="3"/>
  <c r="C293" i="3"/>
  <c r="C338" i="3"/>
  <c r="C386" i="3"/>
  <c r="D251" i="3"/>
  <c r="D280" i="3"/>
  <c r="D336" i="3"/>
  <c r="F213" i="3"/>
  <c r="F266" i="3"/>
  <c r="F348" i="3"/>
  <c r="F386" i="3"/>
  <c r="F354" i="3"/>
  <c r="F322" i="3"/>
  <c r="F287" i="3"/>
  <c r="F265" i="3"/>
  <c r="F244" i="3"/>
  <c r="F212" i="3"/>
  <c r="D359" i="3"/>
  <c r="D329" i="3"/>
  <c r="D292" i="3"/>
  <c r="F380" i="3"/>
  <c r="F336" i="3"/>
  <c r="F278" i="3"/>
  <c r="F220" i="3"/>
  <c r="D339" i="3"/>
  <c r="D283" i="3"/>
  <c r="F334" i="3"/>
  <c r="F292" i="3"/>
  <c r="F257" i="3"/>
  <c r="F219" i="3"/>
  <c r="D375" i="3"/>
  <c r="D328" i="3"/>
  <c r="D286" i="3"/>
  <c r="D257" i="3"/>
  <c r="D214" i="3"/>
  <c r="C352" i="3"/>
  <c r="C310" i="3"/>
  <c r="C270" i="3"/>
  <c r="C244" i="3"/>
  <c r="F378" i="3"/>
  <c r="F328" i="3"/>
  <c r="C231" i="3"/>
  <c r="C274" i="3"/>
  <c r="C332" i="3"/>
  <c r="C387" i="3"/>
  <c r="D256" i="3"/>
  <c r="D326" i="3"/>
  <c r="F230" i="3"/>
  <c r="F291" i="3"/>
  <c r="C275" i="3"/>
  <c r="C366" i="3"/>
  <c r="D253" i="3"/>
  <c r="D315" i="3"/>
  <c r="F216" i="3"/>
  <c r="C241" i="3"/>
  <c r="D220" i="3"/>
  <c r="D382" i="3"/>
  <c r="C213" i="3"/>
  <c r="C326" i="3"/>
  <c r="F273" i="3"/>
  <c r="C346" i="3"/>
  <c r="C337" i="3"/>
  <c r="D247" i="3"/>
  <c r="D344" i="3"/>
  <c r="F285" i="3"/>
  <c r="C251" i="3"/>
  <c r="C286" i="3"/>
  <c r="C351" i="3"/>
  <c r="D226" i="3"/>
  <c r="D270" i="3"/>
  <c r="D351" i="3"/>
  <c r="F245" i="3"/>
  <c r="F315" i="3"/>
  <c r="F382" i="3"/>
  <c r="F314" i="3"/>
  <c r="F258" i="3"/>
  <c r="D345" i="3"/>
  <c r="D322" i="3"/>
  <c r="F368" i="3"/>
  <c r="F329" i="3"/>
  <c r="F282" i="3"/>
  <c r="F254" i="3"/>
  <c r="F214" i="3"/>
  <c r="D355" i="3"/>
  <c r="D318" i="3"/>
  <c r="D282" i="3"/>
  <c r="D249" i="3"/>
  <c r="C248" i="3"/>
  <c r="C342" i="3"/>
  <c r="C292" i="3"/>
  <c r="C265" i="3"/>
  <c r="C233" i="3"/>
  <c r="F359" i="3"/>
  <c r="F317" i="3"/>
  <c r="C245" i="3"/>
  <c r="C288" i="3"/>
  <c r="C339" i="3"/>
  <c r="D216" i="3"/>
  <c r="D273" i="3"/>
  <c r="D337" i="3"/>
  <c r="F247" i="3"/>
  <c r="F355" i="3"/>
  <c r="C290" i="3"/>
  <c r="C382" i="3"/>
  <c r="D266" i="3"/>
  <c r="D330" i="3"/>
  <c r="F302" i="3"/>
  <c r="D378" i="3"/>
  <c r="F362" i="3"/>
  <c r="F275" i="3"/>
  <c r="D310" i="3"/>
  <c r="D242" i="3"/>
  <c r="C329" i="3"/>
  <c r="C258" i="3"/>
  <c r="F349" i="3"/>
  <c r="C257" i="3"/>
  <c r="C354" i="3"/>
  <c r="D281" i="3"/>
  <c r="F267" i="3"/>
  <c r="C314" i="3"/>
  <c r="D274" i="3"/>
  <c r="F252" i="3"/>
  <c r="C315" i="3"/>
  <c r="D332" i="3"/>
  <c r="C254" i="3"/>
  <c r="D212" i="3"/>
  <c r="C249" i="3"/>
  <c r="C359" i="3"/>
  <c r="D294" i="3"/>
  <c r="F253" i="3"/>
  <c r="C256" i="3"/>
  <c r="C317" i="3"/>
  <c r="D215" i="3"/>
  <c r="D288" i="3"/>
  <c r="D385" i="3"/>
  <c r="F288" i="3"/>
  <c r="F283" i="3"/>
  <c r="D349" i="3"/>
  <c r="F342" i="3"/>
  <c r="F269" i="3"/>
  <c r="D387" i="3"/>
  <c r="D291" i="3"/>
  <c r="D231" i="3"/>
  <c r="C318" i="3"/>
  <c r="C253" i="3"/>
  <c r="F339" i="3"/>
  <c r="C266" i="3"/>
  <c r="C378" i="3"/>
  <c r="D290" i="3"/>
  <c r="F281" i="3"/>
  <c r="C355" i="3"/>
  <c r="D284" i="3"/>
  <c r="F332" i="3"/>
  <c r="C348" i="3"/>
  <c r="F217" i="3"/>
  <c r="C267" i="3"/>
  <c r="F259" i="3"/>
  <c r="C280" i="3"/>
  <c r="C373" i="3"/>
  <c r="D317" i="3"/>
  <c r="F337" i="3"/>
  <c r="C273" i="3"/>
  <c r="C330" i="3"/>
  <c r="D241" i="3"/>
  <c r="D304" i="3"/>
  <c r="F226" i="3"/>
  <c r="F385" i="3"/>
  <c r="F373" i="3"/>
  <c r="F255" i="3"/>
  <c r="D314" i="3"/>
  <c r="F310" i="3"/>
  <c r="F249" i="3"/>
  <c r="D348" i="3"/>
  <c r="D269" i="3"/>
  <c r="C380" i="3"/>
  <c r="C287" i="3"/>
  <c r="C215" i="3"/>
  <c r="F307" i="3"/>
  <c r="C294" i="3"/>
  <c r="D244" i="3"/>
  <c r="D354" i="3"/>
  <c r="C219" i="3"/>
  <c r="D233" i="3"/>
  <c r="D342" i="3"/>
  <c r="C214" i="3"/>
  <c r="D255" i="3"/>
  <c r="F304" i="3"/>
  <c r="C284" i="3"/>
  <c r="F294" i="3"/>
  <c r="C291" i="3"/>
  <c r="F298" i="3"/>
  <c r="C362" i="3"/>
  <c r="C307" i="3"/>
  <c r="D245" i="3"/>
  <c r="F375" i="3"/>
  <c r="D235" i="3"/>
  <c r="C216" i="3"/>
  <c r="C363" i="3"/>
  <c r="D352" i="3"/>
  <c r="F344" i="3"/>
  <c r="F231" i="3"/>
  <c r="C283" i="3"/>
  <c r="D252" i="3"/>
  <c r="D380" i="3"/>
  <c r="C344" i="3"/>
  <c r="D267" i="3"/>
  <c r="C242" i="3"/>
  <c r="C375" i="3"/>
  <c r="D368" i="3"/>
  <c r="F233" i="3"/>
  <c r="D338" i="3"/>
  <c r="F387" i="3"/>
  <c r="D386" i="3"/>
  <c r="C285" i="3"/>
  <c r="C226" i="3"/>
  <c r="C281" i="3"/>
  <c r="D346" i="3"/>
  <c r="F346" i="3"/>
  <c r="D287" i="3"/>
  <c r="D263" i="3"/>
  <c r="C217" i="3"/>
  <c r="C247" i="3"/>
  <c r="D259" i="3"/>
  <c r="C302" i="3"/>
  <c r="F241" i="3"/>
  <c r="C304" i="3"/>
  <c r="D261" i="3"/>
  <c r="F280" i="3"/>
  <c r="F60" i="38"/>
  <c r="AH59" i="38"/>
  <c r="AL59" i="38" s="1"/>
  <c r="F39" i="38"/>
  <c r="F41" i="38"/>
  <c r="F43" i="38"/>
  <c r="F47" i="38"/>
  <c r="G112" i="34"/>
  <c r="G53" i="34"/>
  <c r="E398" i="3"/>
  <c r="I398" i="3"/>
  <c r="D398" i="3"/>
  <c r="H398" i="3"/>
  <c r="C398" i="3"/>
  <c r="G398" i="3"/>
  <c r="F406" i="3"/>
  <c r="AR76" i="38" s="1"/>
  <c r="F404" i="3"/>
  <c r="AX8" i="3"/>
  <c r="F17" i="38"/>
  <c r="F52" i="38"/>
  <c r="F102" i="38"/>
  <c r="H102" i="38" s="1"/>
  <c r="O84" i="38"/>
  <c r="Q84" i="38" s="1"/>
  <c r="F70" i="38"/>
  <c r="F16" i="38"/>
  <c r="F77" i="38"/>
  <c r="F34" i="38"/>
  <c r="F95" i="38"/>
  <c r="F29" i="38"/>
  <c r="F89" i="38"/>
  <c r="F109" i="38"/>
  <c r="H109" i="38" s="1"/>
  <c r="F83" i="38"/>
  <c r="F19" i="38"/>
  <c r="F28" i="38"/>
  <c r="Q74" i="38"/>
  <c r="F27" i="38"/>
  <c r="F88" i="38"/>
  <c r="F68" i="38"/>
  <c r="F92" i="38"/>
  <c r="F90" i="38"/>
  <c r="O78" i="38"/>
  <c r="F78" i="38"/>
  <c r="F66" i="38"/>
  <c r="F22" i="38"/>
  <c r="F76" i="38"/>
  <c r="F103" i="38"/>
  <c r="H103" i="38" s="1"/>
  <c r="O82" i="38"/>
  <c r="F31" i="38"/>
  <c r="F72" i="38"/>
  <c r="I73" i="38" s="1"/>
  <c r="F80" i="38"/>
  <c r="F21" i="38"/>
  <c r="I62" i="38"/>
  <c r="O90" i="38"/>
  <c r="O80" i="38"/>
  <c r="F15" i="38"/>
  <c r="G168" i="34"/>
  <c r="F35" i="38"/>
  <c r="I100" i="38"/>
  <c r="F110" i="38"/>
  <c r="B112" i="38" s="1"/>
  <c r="F104" i="38"/>
  <c r="F108" i="38"/>
  <c r="C210" i="3"/>
  <c r="F106" i="38"/>
  <c r="H106" i="38" s="1"/>
  <c r="H116" i="34"/>
  <c r="O23" i="38"/>
  <c r="AC60" i="38" s="1"/>
  <c r="AE60" i="38" s="1"/>
  <c r="Q95" i="38"/>
  <c r="AJ74" i="38" s="1"/>
  <c r="C170" i="34"/>
  <c r="F87" i="38" s="1"/>
  <c r="C75" i="34"/>
  <c r="AH48" i="38" s="1"/>
  <c r="AL48" i="38" s="1"/>
  <c r="P63" i="38"/>
  <c r="I75" i="38"/>
  <c r="I14" i="38"/>
  <c r="F97" i="38"/>
  <c r="H96" i="38"/>
  <c r="D116" i="24"/>
  <c r="C116" i="24"/>
  <c r="D115" i="24"/>
  <c r="C115" i="24"/>
  <c r="E114" i="24"/>
  <c r="G106" i="24"/>
  <c r="F110" i="24" s="1"/>
  <c r="F106" i="24"/>
  <c r="F108" i="24" s="1"/>
  <c r="D106" i="24"/>
  <c r="C106" i="24"/>
  <c r="G105" i="24"/>
  <c r="F109" i="24" s="1"/>
  <c r="F105" i="24"/>
  <c r="D105" i="24"/>
  <c r="C105" i="24"/>
  <c r="D100" i="24"/>
  <c r="C100" i="24"/>
  <c r="D99" i="24"/>
  <c r="C99" i="24"/>
  <c r="G69" i="24"/>
  <c r="C69" i="24"/>
  <c r="D67" i="24"/>
  <c r="C43" i="24" s="1"/>
  <c r="E48" i="24"/>
  <c r="M40" i="24"/>
  <c r="T27" i="24" s="1"/>
  <c r="C39" i="24"/>
  <c r="K37" i="24"/>
  <c r="L37" i="24"/>
  <c r="O36" i="24"/>
  <c r="K36" i="24"/>
  <c r="L36" i="24"/>
  <c r="L35" i="24"/>
  <c r="G34" i="24"/>
  <c r="K32" i="24"/>
  <c r="I32" i="24"/>
  <c r="F32" i="24"/>
  <c r="N31" i="24"/>
  <c r="M31" i="24"/>
  <c r="K31" i="24"/>
  <c r="F31" i="24"/>
  <c r="G30" i="24"/>
  <c r="L31" i="24"/>
  <c r="U29" i="24"/>
  <c r="E29" i="24"/>
  <c r="U28" i="24"/>
  <c r="U27" i="24"/>
  <c r="S27" i="24"/>
  <c r="U26" i="24"/>
  <c r="T26" i="24"/>
  <c r="S26" i="24"/>
  <c r="U25" i="24"/>
  <c r="B24" i="24"/>
  <c r="R15" i="24"/>
  <c r="C11" i="24"/>
  <c r="R7" i="24"/>
  <c r="Q27" i="24" s="1"/>
  <c r="F2" i="24"/>
  <c r="E2" i="24" s="1"/>
  <c r="B35" i="21"/>
  <c r="C131" i="14"/>
  <c r="B131" i="14"/>
  <c r="H130" i="14"/>
  <c r="C130" i="14"/>
  <c r="H128" i="14"/>
  <c r="C128" i="14"/>
  <c r="C109" i="14"/>
  <c r="C108" i="14"/>
  <c r="C107" i="14"/>
  <c r="C106" i="14"/>
  <c r="C104" i="14"/>
  <c r="X103" i="14"/>
  <c r="AB98" i="14"/>
  <c r="AB97" i="14"/>
  <c r="AB99" i="14" s="1"/>
  <c r="X97" i="14"/>
  <c r="Y97" i="14" s="1"/>
  <c r="X96" i="14"/>
  <c r="Y96" i="14" s="1"/>
  <c r="B96" i="14"/>
  <c r="AB95" i="14"/>
  <c r="X95" i="14"/>
  <c r="W95" i="14" s="1"/>
  <c r="B95" i="14"/>
  <c r="AB94" i="14"/>
  <c r="X94" i="14"/>
  <c r="W94" i="14" s="1"/>
  <c r="R94" i="14"/>
  <c r="B94" i="14"/>
  <c r="CQ92" i="14" s="1"/>
  <c r="AB93" i="14"/>
  <c r="Z93" i="14"/>
  <c r="X93" i="14"/>
  <c r="Z92" i="14" s="1"/>
  <c r="AB92" i="14"/>
  <c r="X92" i="14"/>
  <c r="Z91" i="14" s="1"/>
  <c r="AB91" i="14"/>
  <c r="X91" i="14"/>
  <c r="Z97" i="14" s="1"/>
  <c r="AB90" i="14"/>
  <c r="X90" i="14"/>
  <c r="W90" i="14" s="1"/>
  <c r="D90" i="14"/>
  <c r="CR83" i="14"/>
  <c r="CW82" i="14"/>
  <c r="X79" i="14"/>
  <c r="AC78" i="14"/>
  <c r="W82" i="14" s="1"/>
  <c r="AB78" i="14"/>
  <c r="X78" i="14"/>
  <c r="W78" i="14"/>
  <c r="AB77" i="14"/>
  <c r="X77" i="14"/>
  <c r="D77" i="14"/>
  <c r="B77" i="14"/>
  <c r="E91" i="14" s="1"/>
  <c r="AB76" i="14"/>
  <c r="X76" i="14"/>
  <c r="W76" i="14"/>
  <c r="H75" i="14"/>
  <c r="H74" i="14"/>
  <c r="F73" i="14"/>
  <c r="D73" i="14"/>
  <c r="G71" i="14"/>
  <c r="AC70" i="14"/>
  <c r="W73" i="14" s="1"/>
  <c r="AB70" i="14"/>
  <c r="X70" i="14"/>
  <c r="W70" i="14"/>
  <c r="G70" i="14"/>
  <c r="AC69" i="14"/>
  <c r="W72" i="14" s="1"/>
  <c r="AB69" i="14"/>
  <c r="X69" i="14"/>
  <c r="W69" i="14"/>
  <c r="G69" i="14"/>
  <c r="AB68" i="14"/>
  <c r="X68" i="14"/>
  <c r="W68" i="14"/>
  <c r="G68" i="14"/>
  <c r="CR67" i="14"/>
  <c r="G67" i="14"/>
  <c r="X98" i="14" s="1"/>
  <c r="CW66" i="14"/>
  <c r="Y66" i="14"/>
  <c r="X66" i="14"/>
  <c r="W66" i="14"/>
  <c r="AU12" i="14" s="1"/>
  <c r="CR62" i="14"/>
  <c r="B62" i="14"/>
  <c r="G62" i="14" s="1"/>
  <c r="AC79" i="14" s="1"/>
  <c r="CR61" i="14"/>
  <c r="E61" i="14"/>
  <c r="AA78" i="14" s="1"/>
  <c r="D61" i="14"/>
  <c r="Y78" i="14" s="1"/>
  <c r="CR60" i="14"/>
  <c r="D60" i="14"/>
  <c r="Y77" i="14" s="1"/>
  <c r="B60" i="14"/>
  <c r="CR59" i="14"/>
  <c r="X59" i="14"/>
  <c r="G59" i="14"/>
  <c r="AC76" i="14" s="1"/>
  <c r="D59" i="14"/>
  <c r="Y76" i="14" s="1"/>
  <c r="CR58" i="14"/>
  <c r="AC58" i="14"/>
  <c r="AD58" i="14" s="1"/>
  <c r="AB58" i="14"/>
  <c r="X58" i="14"/>
  <c r="W58" i="14"/>
  <c r="N58" i="14"/>
  <c r="E58" i="14"/>
  <c r="AA70" i="14" s="1"/>
  <c r="D58" i="14"/>
  <c r="Y70" i="14" s="1"/>
  <c r="CR57" i="14"/>
  <c r="AB57" i="14"/>
  <c r="X57" i="14"/>
  <c r="E57" i="14"/>
  <c r="AA69" i="14" s="1"/>
  <c r="D57" i="14"/>
  <c r="Y69" i="14" s="1"/>
  <c r="CR56" i="14"/>
  <c r="AB56" i="14"/>
  <c r="X56" i="14"/>
  <c r="W56" i="14"/>
  <c r="D56" i="14"/>
  <c r="Y68" i="14" s="1"/>
  <c r="C55" i="14"/>
  <c r="K54" i="14" s="1"/>
  <c r="CT54" i="14"/>
  <c r="CR54" i="14"/>
  <c r="F53" i="14"/>
  <c r="CT52" i="14"/>
  <c r="CR52" i="14"/>
  <c r="CR51" i="14"/>
  <c r="B51" i="14"/>
  <c r="W59" i="14" s="1"/>
  <c r="CR50" i="14"/>
  <c r="AC50" i="14"/>
  <c r="AD50" i="14" s="1"/>
  <c r="C119" i="14" s="1"/>
  <c r="AB50" i="14"/>
  <c r="X50" i="14"/>
  <c r="W50" i="14"/>
  <c r="N50" i="14"/>
  <c r="E50" i="14"/>
  <c r="AA58" i="14" s="1"/>
  <c r="D50" i="14"/>
  <c r="Y58" i="14" s="1"/>
  <c r="CR49" i="14"/>
  <c r="AC49" i="14"/>
  <c r="W52" i="14" s="1"/>
  <c r="AB49" i="14"/>
  <c r="X49" i="14"/>
  <c r="W49" i="14"/>
  <c r="D49" i="14"/>
  <c r="Y57" i="14" s="1"/>
  <c r="B49" i="14"/>
  <c r="G49" i="14" s="1"/>
  <c r="AC57" i="14" s="1"/>
  <c r="CR48" i="14"/>
  <c r="AB48" i="14"/>
  <c r="X48" i="14"/>
  <c r="W48" i="14"/>
  <c r="G48" i="14"/>
  <c r="AC56" i="14" s="1"/>
  <c r="W60" i="14" s="1"/>
  <c r="D48" i="14"/>
  <c r="Y56" i="14" s="1"/>
  <c r="CR47" i="14"/>
  <c r="E47" i="14"/>
  <c r="AA50" i="14" s="1"/>
  <c r="D47" i="14"/>
  <c r="Y50" i="14" s="1"/>
  <c r="CR46" i="14"/>
  <c r="Y46" i="14"/>
  <c r="X46" i="14"/>
  <c r="W46" i="14"/>
  <c r="AQ26" i="14" s="1"/>
  <c r="E46" i="14"/>
  <c r="AA49" i="14" s="1"/>
  <c r="D46" i="14"/>
  <c r="Y49" i="14" s="1"/>
  <c r="CR45" i="14"/>
  <c r="D45" i="14"/>
  <c r="Y48" i="14" s="1"/>
  <c r="C44" i="14"/>
  <c r="K47" i="14" s="1"/>
  <c r="CT43" i="14"/>
  <c r="CR43" i="14"/>
  <c r="F42" i="14"/>
  <c r="CT41" i="14"/>
  <c r="CR41" i="14"/>
  <c r="CR40" i="14"/>
  <c r="B40" i="14"/>
  <c r="G40" i="14" s="1"/>
  <c r="AC39" i="14" s="1"/>
  <c r="CR39" i="14"/>
  <c r="X39" i="14"/>
  <c r="E39" i="14"/>
  <c r="AA38" i="14" s="1"/>
  <c r="D39" i="14"/>
  <c r="Y38" i="14" s="1"/>
  <c r="CR38" i="14"/>
  <c r="AC38" i="14"/>
  <c r="W42" i="14" s="1"/>
  <c r="AB38" i="14"/>
  <c r="X38" i="14"/>
  <c r="W38" i="14"/>
  <c r="D38" i="14"/>
  <c r="B38" i="14"/>
  <c r="CR37" i="14"/>
  <c r="AB37" i="14"/>
  <c r="Y37" i="14"/>
  <c r="X37" i="14"/>
  <c r="W37" i="14"/>
  <c r="N37" i="14"/>
  <c r="G37" i="14"/>
  <c r="AC36" i="14" s="1"/>
  <c r="W40" i="14" s="1"/>
  <c r="D37" i="14"/>
  <c r="Y36" i="14" s="1"/>
  <c r="CR36" i="14"/>
  <c r="AB36" i="14"/>
  <c r="X36" i="14"/>
  <c r="W36" i="14"/>
  <c r="E36" i="14"/>
  <c r="AA30" i="14" s="1"/>
  <c r="D36" i="14"/>
  <c r="Y30" i="14" s="1"/>
  <c r="CR35" i="14"/>
  <c r="E35" i="14"/>
  <c r="AA29" i="14" s="1"/>
  <c r="D35" i="14"/>
  <c r="Y29" i="14" s="1"/>
  <c r="CR34" i="14"/>
  <c r="D34" i="14"/>
  <c r="Y28" i="14" s="1"/>
  <c r="C33" i="14"/>
  <c r="K34" i="14" s="1"/>
  <c r="CT32" i="14"/>
  <c r="CR32" i="14"/>
  <c r="F31" i="14"/>
  <c r="CT30" i="14"/>
  <c r="CR30" i="14"/>
  <c r="AC30" i="14"/>
  <c r="AD30" i="14" s="1"/>
  <c r="C118" i="14" s="1"/>
  <c r="AB30" i="14"/>
  <c r="X30" i="14"/>
  <c r="W30" i="14"/>
  <c r="AC29" i="14"/>
  <c r="W32" i="14" s="1"/>
  <c r="AB29" i="14"/>
  <c r="X29" i="14"/>
  <c r="W29" i="14"/>
  <c r="F29" i="14"/>
  <c r="AB28" i="14"/>
  <c r="X28" i="14"/>
  <c r="W28" i="14"/>
  <c r="K28" i="14"/>
  <c r="L28" i="14" s="1"/>
  <c r="CR26" i="14"/>
  <c r="Y26" i="14"/>
  <c r="X26" i="14"/>
  <c r="W26" i="14"/>
  <c r="B26" i="14"/>
  <c r="G26" i="14" s="1"/>
  <c r="AC18" i="14" s="1"/>
  <c r="CR25" i="14"/>
  <c r="K25" i="14"/>
  <c r="L25" i="14" s="1"/>
  <c r="H25" i="14" s="1"/>
  <c r="E25" i="14"/>
  <c r="AA17" i="14" s="1"/>
  <c r="D25" i="14"/>
  <c r="Y17" i="14" s="1"/>
  <c r="CR24" i="14"/>
  <c r="AQ24" i="14"/>
  <c r="D24" i="14"/>
  <c r="Y16" i="14" s="1"/>
  <c r="B24" i="14"/>
  <c r="CR23" i="14"/>
  <c r="G23" i="14"/>
  <c r="E23" i="14"/>
  <c r="AA15" i="14" s="1"/>
  <c r="D23" i="14"/>
  <c r="Y15" i="14" s="1"/>
  <c r="CR22" i="14"/>
  <c r="E22" i="14"/>
  <c r="AA9" i="14" s="1"/>
  <c r="D22" i="14"/>
  <c r="Y9" i="14" s="1"/>
  <c r="CR21" i="14"/>
  <c r="E21" i="14"/>
  <c r="AA8" i="14" s="1"/>
  <c r="D21" i="14"/>
  <c r="Y8" i="14" s="1"/>
  <c r="CR20" i="14"/>
  <c r="E20" i="14"/>
  <c r="K21" i="14" s="1"/>
  <c r="L21" i="14" s="1"/>
  <c r="H21" i="14" s="1"/>
  <c r="D20" i="14"/>
  <c r="Y7" i="14" s="1"/>
  <c r="X18" i="14"/>
  <c r="C18" i="14"/>
  <c r="K19" i="14" s="1"/>
  <c r="CS17" i="14"/>
  <c r="CR17" i="14"/>
  <c r="AC17" i="14"/>
  <c r="AD21" i="14" s="1"/>
  <c r="AB17" i="14"/>
  <c r="X17" i="14"/>
  <c r="W17" i="14"/>
  <c r="B17" i="14"/>
  <c r="E17" i="14" s="1"/>
  <c r="AB16" i="14"/>
  <c r="X16" i="14"/>
  <c r="E16" i="14"/>
  <c r="CS15" i="14"/>
  <c r="CR15" i="14"/>
  <c r="AB15" i="14"/>
  <c r="X15" i="14"/>
  <c r="W15" i="14"/>
  <c r="B15" i="14"/>
  <c r="E14" i="14"/>
  <c r="N11" i="14"/>
  <c r="AC9" i="14"/>
  <c r="AB9" i="14"/>
  <c r="X9" i="14"/>
  <c r="W9" i="14"/>
  <c r="B9" i="14"/>
  <c r="AC8" i="14"/>
  <c r="W11" i="14" s="1"/>
  <c r="AB8" i="14"/>
  <c r="X8" i="14"/>
  <c r="W8" i="14"/>
  <c r="C8" i="14"/>
  <c r="AB7" i="14"/>
  <c r="X7" i="14"/>
  <c r="W7" i="14"/>
  <c r="Z6" i="14"/>
  <c r="Y6" i="14"/>
  <c r="AL4" i="14"/>
  <c r="AL3" i="14"/>
  <c r="C3" i="14"/>
  <c r="Y2" i="14"/>
  <c r="X2" i="14"/>
  <c r="Z2" i="14" s="1"/>
  <c r="C129" i="14" s="1"/>
  <c r="C2" i="14"/>
  <c r="F54" i="14" s="1"/>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I105" i="3"/>
  <c r="C105" i="3"/>
  <c r="C104" i="3"/>
  <c r="C103" i="3"/>
  <c r="K100" i="3"/>
  <c r="G100" i="3"/>
  <c r="K99" i="3"/>
  <c r="G99" i="3"/>
  <c r="K98" i="3"/>
  <c r="G98" i="3"/>
  <c r="K97" i="3"/>
  <c r="G97" i="3"/>
  <c r="K96" i="3"/>
  <c r="G96" i="3"/>
  <c r="K95" i="3"/>
  <c r="G95" i="3"/>
  <c r="K94" i="3"/>
  <c r="G94" i="3"/>
  <c r="K93" i="3"/>
  <c r="G93" i="3"/>
  <c r="K92" i="3"/>
  <c r="G92" i="3"/>
  <c r="K91" i="3"/>
  <c r="G91" i="3"/>
  <c r="K90" i="3"/>
  <c r="G90" i="3"/>
  <c r="K89" i="3"/>
  <c r="G89" i="3"/>
  <c r="K88" i="3"/>
  <c r="G88" i="3"/>
  <c r="K87" i="3"/>
  <c r="G87" i="3"/>
  <c r="K86" i="3"/>
  <c r="G86" i="3"/>
  <c r="K85" i="3"/>
  <c r="G85" i="3"/>
  <c r="K84" i="3"/>
  <c r="G84" i="3"/>
  <c r="K83" i="3"/>
  <c r="G83" i="3"/>
  <c r="K82" i="3"/>
  <c r="G82" i="3"/>
  <c r="K81" i="3"/>
  <c r="G81" i="3"/>
  <c r="K80" i="3"/>
  <c r="G80" i="3"/>
  <c r="K79" i="3"/>
  <c r="G79" i="3"/>
  <c r="K78" i="3"/>
  <c r="G78" i="3"/>
  <c r="K77" i="3"/>
  <c r="G77" i="3"/>
  <c r="K76" i="3"/>
  <c r="G76" i="3"/>
  <c r="K75" i="3"/>
  <c r="G75" i="3"/>
  <c r="K74" i="3"/>
  <c r="G74" i="3"/>
  <c r="K73" i="3"/>
  <c r="G73" i="3"/>
  <c r="K72" i="3"/>
  <c r="G72" i="3"/>
  <c r="K71" i="3"/>
  <c r="G71" i="3"/>
  <c r="K70" i="3"/>
  <c r="G70" i="3"/>
  <c r="K69" i="3"/>
  <c r="G69" i="3"/>
  <c r="K68" i="3"/>
  <c r="G68" i="3"/>
  <c r="K67" i="3"/>
  <c r="G67" i="3"/>
  <c r="K66" i="3"/>
  <c r="G66" i="3"/>
  <c r="K65" i="3"/>
  <c r="G65" i="3"/>
  <c r="K64" i="3"/>
  <c r="G64" i="3"/>
  <c r="K63" i="3"/>
  <c r="G63" i="3"/>
  <c r="K62" i="3"/>
  <c r="G62" i="3"/>
  <c r="K61" i="3"/>
  <c r="G61" i="3"/>
  <c r="K60" i="3"/>
  <c r="G60" i="3"/>
  <c r="K59" i="3"/>
  <c r="G59" i="3"/>
  <c r="K58" i="3"/>
  <c r="G58" i="3"/>
  <c r="K57" i="3"/>
  <c r="G57" i="3"/>
  <c r="K56" i="3"/>
  <c r="G56" i="3"/>
  <c r="K55" i="3"/>
  <c r="G55" i="3"/>
  <c r="K54" i="3"/>
  <c r="G54" i="3"/>
  <c r="K53" i="3"/>
  <c r="G53" i="3"/>
  <c r="K52" i="3"/>
  <c r="G52" i="3"/>
  <c r="K51" i="3"/>
  <c r="G51" i="3"/>
  <c r="K50" i="3"/>
  <c r="G50" i="3"/>
  <c r="K49" i="3"/>
  <c r="G49" i="3"/>
  <c r="K48" i="3"/>
  <c r="G48" i="3"/>
  <c r="K47" i="3"/>
  <c r="G47" i="3"/>
  <c r="K46" i="3"/>
  <c r="G46" i="3"/>
  <c r="K45" i="3"/>
  <c r="G45" i="3"/>
  <c r="K44" i="3"/>
  <c r="G44" i="3"/>
  <c r="K43" i="3"/>
  <c r="G43" i="3"/>
  <c r="K42" i="3"/>
  <c r="G42" i="3"/>
  <c r="K41" i="3"/>
  <c r="G41" i="3"/>
  <c r="K40" i="3"/>
  <c r="G40" i="3"/>
  <c r="K39" i="3"/>
  <c r="G39" i="3"/>
  <c r="K38" i="3"/>
  <c r="G38" i="3"/>
  <c r="K37" i="3"/>
  <c r="G37" i="3"/>
  <c r="K36" i="3"/>
  <c r="G36" i="3"/>
  <c r="K35" i="3"/>
  <c r="G35" i="3"/>
  <c r="K34" i="3"/>
  <c r="G34" i="3"/>
  <c r="K33" i="3"/>
  <c r="G33" i="3"/>
  <c r="K32" i="3"/>
  <c r="G32" i="3"/>
  <c r="K31" i="3"/>
  <c r="G31" i="3"/>
  <c r="K30" i="3"/>
  <c r="G30" i="3"/>
  <c r="K29" i="3"/>
  <c r="G29" i="3"/>
  <c r="K28" i="3"/>
  <c r="G28" i="3"/>
  <c r="K27" i="3"/>
  <c r="G27" i="3"/>
  <c r="K26" i="3"/>
  <c r="G26" i="3"/>
  <c r="K25" i="3"/>
  <c r="G25" i="3"/>
  <c r="K24" i="3"/>
  <c r="G24" i="3"/>
  <c r="K23" i="3"/>
  <c r="G23" i="3"/>
  <c r="K22" i="3"/>
  <c r="G22" i="3"/>
  <c r="K21" i="3"/>
  <c r="G21" i="3"/>
  <c r="K20" i="3"/>
  <c r="G20" i="3"/>
  <c r="K19" i="3"/>
  <c r="G19" i="3"/>
  <c r="K18" i="3"/>
  <c r="G18" i="3"/>
  <c r="K17" i="3"/>
  <c r="G17" i="3"/>
  <c r="K16" i="3"/>
  <c r="G16" i="3"/>
  <c r="K15" i="3"/>
  <c r="G15" i="3"/>
  <c r="K14" i="3"/>
  <c r="G14" i="3"/>
  <c r="K13" i="3"/>
  <c r="G13" i="3"/>
  <c r="K12" i="3"/>
  <c r="G12" i="3"/>
  <c r="K11" i="3"/>
  <c r="G11" i="3"/>
  <c r="K10" i="3"/>
  <c r="G10" i="3"/>
  <c r="K9" i="3"/>
  <c r="G9" i="3"/>
  <c r="K8" i="3"/>
  <c r="G8" i="3"/>
  <c r="K7" i="3"/>
  <c r="G7" i="3"/>
  <c r="K6" i="3"/>
  <c r="G6" i="3"/>
  <c r="K5" i="3"/>
  <c r="G5" i="3"/>
  <c r="K4" i="3"/>
  <c r="G4" i="3"/>
  <c r="K3" i="3"/>
  <c r="G3" i="3"/>
  <c r="H1" i="28"/>
  <c r="H113" i="34"/>
  <c r="J22" i="34"/>
  <c r="B4" i="34" l="1"/>
  <c r="W77" i="14"/>
  <c r="E60" i="14"/>
  <c r="AA77" i="14" s="1"/>
  <c r="E38" i="14"/>
  <c r="K39" i="14" s="1"/>
  <c r="L39" i="14" s="1"/>
  <c r="H39" i="14" s="1"/>
  <c r="G38" i="14"/>
  <c r="AC37" i="14" s="1"/>
  <c r="X35" i="14" s="1"/>
  <c r="AR25" i="14" s="1"/>
  <c r="AQ25" i="14"/>
  <c r="AU10" i="14"/>
  <c r="E24" i="14"/>
  <c r="AA16" i="14" s="1"/>
  <c r="G24" i="14"/>
  <c r="AC16" i="14" s="1"/>
  <c r="W16" i="14"/>
  <c r="L27" i="14"/>
  <c r="D119" i="24"/>
  <c r="W21" i="14"/>
  <c r="AD29" i="14"/>
  <c r="AV10" i="14" s="1"/>
  <c r="E49" i="14"/>
  <c r="AA57" i="14" s="1"/>
  <c r="C72" i="14"/>
  <c r="K38" i="24"/>
  <c r="X3" i="14"/>
  <c r="C110" i="14" s="1"/>
  <c r="E15" i="14"/>
  <c r="F40" i="14"/>
  <c r="AB39" i="14" s="1"/>
  <c r="AR54" i="38"/>
  <c r="CT36" i="14"/>
  <c r="CS26" i="14"/>
  <c r="CU35" i="14"/>
  <c r="CS51" i="14"/>
  <c r="W39" i="14"/>
  <c r="Z94" i="14"/>
  <c r="Y95" i="14"/>
  <c r="B119" i="14"/>
  <c r="E26" i="14"/>
  <c r="AA18" i="14" s="1"/>
  <c r="AQ27" i="14"/>
  <c r="D40" i="14"/>
  <c r="Y39" i="14" s="1"/>
  <c r="F51" i="14"/>
  <c r="AB59" i="14" s="1"/>
  <c r="AD70" i="14"/>
  <c r="C120" i="14" s="1"/>
  <c r="AD78" i="14"/>
  <c r="D120" i="24"/>
  <c r="X14" i="14"/>
  <c r="AF21" i="14" s="1"/>
  <c r="C121" i="14" s="1"/>
  <c r="AL5" i="14"/>
  <c r="D26" i="14"/>
  <c r="Y18" i="14" s="1"/>
  <c r="D51" i="14"/>
  <c r="Y59" i="14" s="1"/>
  <c r="Y90" i="14"/>
  <c r="AU11" i="14"/>
  <c r="F52" i="14"/>
  <c r="AA7" i="14"/>
  <c r="V8" i="14" s="1"/>
  <c r="AG8" i="14" s="1"/>
  <c r="AD9" i="14"/>
  <c r="C117" i="14" s="1"/>
  <c r="W18" i="14"/>
  <c r="F26" i="14"/>
  <c r="AB18" i="14" s="1"/>
  <c r="E40" i="14"/>
  <c r="AA39" i="14" s="1"/>
  <c r="CT47" i="14"/>
  <c r="E59" i="14"/>
  <c r="AA76" i="14" s="1"/>
  <c r="E62" i="14"/>
  <c r="AA79" i="14" s="1"/>
  <c r="F84" i="38"/>
  <c r="P72" i="38"/>
  <c r="O22" i="38"/>
  <c r="I71" i="38" s="1"/>
  <c r="H23" i="38"/>
  <c r="F23" i="38"/>
  <c r="F85" i="38"/>
  <c r="B111" i="38"/>
  <c r="H110" i="38"/>
  <c r="F111" i="38" s="1"/>
  <c r="H111" i="38"/>
  <c r="G151" i="34"/>
  <c r="O73" i="38"/>
  <c r="W23" i="14"/>
  <c r="AD22" i="14"/>
  <c r="W22" i="14"/>
  <c r="X99" i="14"/>
  <c r="AD39" i="14"/>
  <c r="W43" i="14"/>
  <c r="W98" i="14"/>
  <c r="Z96" i="14"/>
  <c r="Y98" i="14"/>
  <c r="H80" i="14"/>
  <c r="L65" i="14" s="1"/>
  <c r="H79" i="14"/>
  <c r="E81" i="14" s="1"/>
  <c r="B83" i="14"/>
  <c r="B79" i="14"/>
  <c r="H78" i="14"/>
  <c r="A92" i="14" s="1"/>
  <c r="B84" i="14"/>
  <c r="W83" i="14"/>
  <c r="AD79" i="14"/>
  <c r="C127" i="14"/>
  <c r="AF103" i="14"/>
  <c r="AD8" i="14"/>
  <c r="AC15" i="14"/>
  <c r="G20" i="14"/>
  <c r="K22" i="14"/>
  <c r="L22" i="14" s="1"/>
  <c r="H22" i="14" s="1"/>
  <c r="F30" i="14"/>
  <c r="W33" i="14"/>
  <c r="AD38" i="14"/>
  <c r="F44" i="14"/>
  <c r="E48" i="14"/>
  <c r="AA56" i="14" s="1"/>
  <c r="AD49" i="14"/>
  <c r="AV11" i="14" s="1"/>
  <c r="G51" i="14"/>
  <c r="W53" i="14"/>
  <c r="E56" i="14"/>
  <c r="G56" i="14" s="1"/>
  <c r="W57" i="14"/>
  <c r="W61" i="14" s="1"/>
  <c r="D62" i="14"/>
  <c r="Y79" i="14" s="1"/>
  <c r="W62" i="14"/>
  <c r="AD69" i="14"/>
  <c r="AV12" i="14" s="1"/>
  <c r="W79" i="14"/>
  <c r="W91" i="14"/>
  <c r="W92" i="14"/>
  <c r="W93" i="14"/>
  <c r="Y94" i="14"/>
  <c r="W96" i="14"/>
  <c r="AB96" i="14"/>
  <c r="W97" i="14"/>
  <c r="D118" i="24"/>
  <c r="W12" i="14"/>
  <c r="F32" i="14"/>
  <c r="E34" i="14"/>
  <c r="K37" i="14" s="1"/>
  <c r="L37" i="14" s="1"/>
  <c r="H36" i="14" s="1"/>
  <c r="E37" i="14"/>
  <c r="AA36" i="14" s="1"/>
  <c r="F41" i="14"/>
  <c r="E45" i="14"/>
  <c r="K49" i="14" s="1"/>
  <c r="L49" i="14" s="1"/>
  <c r="H46" i="14" s="1"/>
  <c r="E51" i="14"/>
  <c r="AA59" i="14" s="1"/>
  <c r="F55" i="14"/>
  <c r="G60" i="14"/>
  <c r="AC77" i="14" s="1"/>
  <c r="F62" i="14"/>
  <c r="AB79" i="14" s="1"/>
  <c r="CQ148" i="14"/>
  <c r="Z90" i="14"/>
  <c r="Y91" i="14"/>
  <c r="Y92" i="14"/>
  <c r="Y93" i="14"/>
  <c r="Z95" i="14"/>
  <c r="Z98" i="14"/>
  <c r="AG93" i="14" s="1"/>
  <c r="AH93" i="14" s="1"/>
  <c r="E18" i="14"/>
  <c r="F33" i="14"/>
  <c r="F43" i="14"/>
  <c r="D98" i="38"/>
  <c r="F24" i="38"/>
  <c r="L39" i="24"/>
  <c r="I36" i="24" s="1"/>
  <c r="I38" i="24" s="1"/>
  <c r="C96" i="24"/>
  <c r="D109" i="24"/>
  <c r="Q26" i="24"/>
  <c r="CQ7" i="14"/>
  <c r="CQ8" i="14"/>
  <c r="CR10" i="14"/>
  <c r="CV22" i="14"/>
  <c r="CQ37" i="14"/>
  <c r="CR11" i="14"/>
  <c r="CQ12" i="14"/>
  <c r="CQ17" i="14"/>
  <c r="CS23" i="14"/>
  <c r="CS24" i="14"/>
  <c r="CS25" i="14"/>
  <c r="CU38" i="14"/>
  <c r="CU40" i="14"/>
  <c r="CT21" i="14"/>
  <c r="CW25" i="14"/>
  <c r="CQ27" i="14"/>
  <c r="CU31" i="14"/>
  <c r="CS33" i="14"/>
  <c r="CQ34" i="14"/>
  <c r="CQ35" i="14"/>
  <c r="CU42" i="14"/>
  <c r="CT46" i="14"/>
  <c r="CT13" i="14"/>
  <c r="CV20" i="14"/>
  <c r="CU34" i="14"/>
  <c r="CU37" i="14"/>
  <c r="CS39" i="14"/>
  <c r="CQ44" i="14"/>
  <c r="CQ58" i="14"/>
  <c r="CQ61" i="14"/>
  <c r="CR4" i="14"/>
  <c r="CS9" i="14"/>
  <c r="CV10" i="14"/>
  <c r="CV12" i="14"/>
  <c r="CR13" i="14"/>
  <c r="CT15" i="14"/>
  <c r="CT16" i="14"/>
  <c r="CR18" i="14"/>
  <c r="CT20" i="14"/>
  <c r="CV21" i="14"/>
  <c r="CT22" i="14"/>
  <c r="CQ23" i="14"/>
  <c r="CU23" i="14"/>
  <c r="CQ24" i="14"/>
  <c r="CU24" i="14"/>
  <c r="CQ25" i="14"/>
  <c r="CU25" i="14"/>
  <c r="CQ26" i="14"/>
  <c r="CU26" i="14"/>
  <c r="CU30" i="14"/>
  <c r="CU32" i="14"/>
  <c r="CQ33" i="14"/>
  <c r="CS34" i="14"/>
  <c r="CS35" i="14"/>
  <c r="CW35" i="14"/>
  <c r="CV36" i="14"/>
  <c r="CS37" i="14"/>
  <c r="CV39" i="14"/>
  <c r="CT45" i="14"/>
  <c r="CW46" i="14"/>
  <c r="CQ47" i="14"/>
  <c r="CT48" i="14"/>
  <c r="CU49" i="14"/>
  <c r="CQ55" i="14"/>
  <c r="CV61" i="14"/>
  <c r="CR6" i="14"/>
  <c r="CW9" i="14"/>
  <c r="CQ10" i="14"/>
  <c r="CQ11" i="14"/>
  <c r="CW12" i="14"/>
  <c r="CS13" i="14"/>
  <c r="CQ15" i="14"/>
  <c r="CT17" i="14"/>
  <c r="CQ20" i="14"/>
  <c r="CU20" i="14"/>
  <c r="CS21" i="14"/>
  <c r="CW21" i="14"/>
  <c r="CQ22" i="14"/>
  <c r="CU22" i="14"/>
  <c r="CV23" i="14"/>
  <c r="CV24" i="14"/>
  <c r="CV25" i="14"/>
  <c r="CV26" i="14"/>
  <c r="CQ29" i="14"/>
  <c r="CQ30" i="14"/>
  <c r="CQ32" i="14"/>
  <c r="CR33" i="14"/>
  <c r="CT34" i="14"/>
  <c r="CT35" i="14"/>
  <c r="CS36" i="14"/>
  <c r="CW36" i="14"/>
  <c r="CT37" i="14"/>
  <c r="CS38" i="14"/>
  <c r="CW39" i="14"/>
  <c r="CS40" i="14"/>
  <c r="CQ43" i="14"/>
  <c r="CV45" i="14"/>
  <c r="CS46" i="14"/>
  <c r="CR2" i="14"/>
  <c r="CQ9" i="14"/>
  <c r="CU10" i="14"/>
  <c r="CR12" i="14"/>
  <c r="CQ13" i="14"/>
  <c r="CU13" i="14"/>
  <c r="CQ14" i="14"/>
  <c r="CQ18" i="14"/>
  <c r="CS20" i="14"/>
  <c r="CQ21" i="14"/>
  <c r="CU21" i="14"/>
  <c r="CS22" i="14"/>
  <c r="CW22" i="14"/>
  <c r="CT23" i="14"/>
  <c r="CT24" i="14"/>
  <c r="CT25" i="14"/>
  <c r="CT26" i="14"/>
  <c r="CV27" i="14"/>
  <c r="CV34" i="14"/>
  <c r="CV35" i="14"/>
  <c r="CQ36" i="14"/>
  <c r="CU36" i="14"/>
  <c r="CV37" i="14"/>
  <c r="CQ38" i="14"/>
  <c r="CV38" i="14"/>
  <c r="CT39" i="14"/>
  <c r="CQ40" i="14"/>
  <c r="CV40" i="14"/>
  <c r="CU41" i="14"/>
  <c r="CS44" i="14"/>
  <c r="CS45" i="14"/>
  <c r="CQ46" i="14"/>
  <c r="CU46" i="14"/>
  <c r="CV47" i="14"/>
  <c r="CS50" i="14"/>
  <c r="CU52" i="14"/>
  <c r="CQ56" i="14"/>
  <c r="CU68" i="14"/>
  <c r="CV69" i="14"/>
  <c r="CU70" i="14"/>
  <c r="CU73" i="14"/>
  <c r="CV75" i="14"/>
  <c r="CQ50" i="14"/>
  <c r="CT56" i="14"/>
  <c r="CT58" i="14"/>
  <c r="CV67" i="14"/>
  <c r="CS71" i="14"/>
  <c r="CV74" i="14"/>
  <c r="CV50" i="14"/>
  <c r="CV51" i="14"/>
  <c r="CU54" i="14"/>
  <c r="CS55" i="14"/>
  <c r="CV58" i="14"/>
  <c r="CU59" i="14"/>
  <c r="CV62" i="14"/>
  <c r="CV56" i="14"/>
  <c r="CU57" i="14"/>
  <c r="CT60" i="14"/>
  <c r="CQ62" i="14"/>
  <c r="CV63" i="14"/>
  <c r="CS77" i="14"/>
  <c r="CR81" i="14"/>
  <c r="D1" i="14"/>
  <c r="L48" i="14"/>
  <c r="C4" i="14"/>
  <c r="C6" i="14"/>
  <c r="B27" i="14"/>
  <c r="C7" i="14"/>
  <c r="C1" i="14"/>
  <c r="W80" i="14"/>
  <c r="AD76" i="14"/>
  <c r="G27" i="14"/>
  <c r="AD36" i="14"/>
  <c r="CT38" i="14"/>
  <c r="CQ39" i="14"/>
  <c r="CU39" i="14"/>
  <c r="CT40" i="14"/>
  <c r="CQ41" i="14"/>
  <c r="CU43" i="14"/>
  <c r="CR44" i="14"/>
  <c r="CQ45" i="14"/>
  <c r="CU45" i="14"/>
  <c r="CV46" i="14"/>
  <c r="CU47" i="14"/>
  <c r="CS48" i="14"/>
  <c r="CS49" i="14"/>
  <c r="CU50" i="14"/>
  <c r="CU53" i="14"/>
  <c r="AD56" i="14"/>
  <c r="CU56" i="14"/>
  <c r="CQ57" i="14"/>
  <c r="CV57" i="14"/>
  <c r="CS59" i="14"/>
  <c r="CQ60" i="14"/>
  <c r="CU60" i="14"/>
  <c r="CW61" i="14"/>
  <c r="G63" i="14"/>
  <c r="G64" i="14"/>
  <c r="CR69" i="14"/>
  <c r="CW69" i="14"/>
  <c r="CV70" i="14"/>
  <c r="CU71" i="14"/>
  <c r="CR72" i="14"/>
  <c r="CQ73" i="14"/>
  <c r="CW75" i="14"/>
  <c r="CQ76" i="14"/>
  <c r="CV77" i="14"/>
  <c r="CW79" i="14"/>
  <c r="CQ80" i="14"/>
  <c r="CQ85" i="14"/>
  <c r="A91" i="14"/>
  <c r="CS61" i="14"/>
  <c r="CT62" i="14"/>
  <c r="CQ64" i="14"/>
  <c r="CS68" i="14"/>
  <c r="CS69" i="14"/>
  <c r="CR70" i="14"/>
  <c r="CV71" i="14"/>
  <c r="CR73" i="14"/>
  <c r="CQ74" i="14"/>
  <c r="CS78" i="14"/>
  <c r="B80" i="14"/>
  <c r="CW80" i="14"/>
  <c r="CQ82" i="14"/>
  <c r="CQ83" i="14"/>
  <c r="B86" i="14"/>
  <c r="CQ48" i="14"/>
  <c r="CU48" i="14"/>
  <c r="CQ49" i="14"/>
  <c r="CV49" i="14"/>
  <c r="CW50" i="14"/>
  <c r="CT51" i="14"/>
  <c r="CQ52" i="14"/>
  <c r="CR55" i="14"/>
  <c r="CT57" i="14"/>
  <c r="CU58" i="14"/>
  <c r="CQ59" i="14"/>
  <c r="CV59" i="14"/>
  <c r="CS60" i="14"/>
  <c r="CU61" i="14"/>
  <c r="CU62" i="14"/>
  <c r="CQ63" i="14"/>
  <c r="CR65" i="14"/>
  <c r="CQ66" i="14"/>
  <c r="CS67" i="14"/>
  <c r="CT68" i="14"/>
  <c r="CT69" i="14"/>
  <c r="CS70" i="14"/>
  <c r="CR71" i="14"/>
  <c r="CS73" i="14"/>
  <c r="CU74" i="14"/>
  <c r="CU75" i="14"/>
  <c r="CW78" i="14"/>
  <c r="CQ81" i="14"/>
  <c r="CR88" i="14"/>
  <c r="CT91" i="14"/>
  <c r="L35" i="14"/>
  <c r="K52" i="14"/>
  <c r="L52" i="14" s="1"/>
  <c r="AD57" i="14"/>
  <c r="AA37" i="14"/>
  <c r="K60" i="14"/>
  <c r="L60" i="14" s="1"/>
  <c r="CS91" i="14"/>
  <c r="CT92" i="14"/>
  <c r="CQ98" i="14"/>
  <c r="CW102" i="14"/>
  <c r="CQ104" i="14"/>
  <c r="CR116" i="14"/>
  <c r="CR117" i="14"/>
  <c r="CX118" i="14"/>
  <c r="CX119" i="14"/>
  <c r="CR122" i="14"/>
  <c r="CR124" i="14"/>
  <c r="CQ127" i="14"/>
  <c r="CQ128" i="14"/>
  <c r="CW130" i="14"/>
  <c r="CR131" i="14"/>
  <c r="CQ135" i="14"/>
  <c r="CQ137" i="14"/>
  <c r="CQ139" i="14"/>
  <c r="CQ145" i="14"/>
  <c r="CQ149" i="14"/>
  <c r="CR104" i="14"/>
  <c r="CQ106" i="14"/>
  <c r="CQ107" i="14"/>
  <c r="CQ108" i="14"/>
  <c r="CQ109" i="14"/>
  <c r="CQ110" i="14"/>
  <c r="CQ113" i="14"/>
  <c r="CR114" i="14"/>
  <c r="CR115" i="14"/>
  <c r="CX116" i="14"/>
  <c r="CX117" i="14"/>
  <c r="CQ121" i="14"/>
  <c r="CQ125" i="14"/>
  <c r="CR127" i="14"/>
  <c r="CR128" i="14"/>
  <c r="CQ129" i="14"/>
  <c r="CQ130" i="14"/>
  <c r="CQ133" i="14"/>
  <c r="CS135" i="14"/>
  <c r="CS137" i="14"/>
  <c r="CS139" i="14"/>
  <c r="CQ146" i="14"/>
  <c r="CQ150" i="14"/>
  <c r="CS47" i="14"/>
  <c r="CW47" i="14"/>
  <c r="CV48" i="14"/>
  <c r="CT49" i="14"/>
  <c r="CT50" i="14"/>
  <c r="CQ51" i="14"/>
  <c r="CU51" i="14"/>
  <c r="CQ54" i="14"/>
  <c r="CS56" i="14"/>
  <c r="CS57" i="14"/>
  <c r="CW57" i="14"/>
  <c r="CS58" i="14"/>
  <c r="CW58" i="14"/>
  <c r="CT59" i="14"/>
  <c r="CV60" i="14"/>
  <c r="CT61" i="14"/>
  <c r="CS62" i="14"/>
  <c r="B63" i="14"/>
  <c r="B64" i="14"/>
  <c r="CV64" i="14"/>
  <c r="CV66" i="14"/>
  <c r="CQ67" i="14"/>
  <c r="CR68" i="14"/>
  <c r="CV68" i="14"/>
  <c r="CQ69" i="14"/>
  <c r="CU69" i="14"/>
  <c r="CT70" i="14"/>
  <c r="CT71" i="14"/>
  <c r="H72" i="14"/>
  <c r="CW72" i="14" s="1"/>
  <c r="CT73" i="14"/>
  <c r="CW74" i="14"/>
  <c r="CQ75" i="14"/>
  <c r="CS76" i="14"/>
  <c r="D78" i="14"/>
  <c r="CQ79" i="14"/>
  <c r="CT81" i="14"/>
  <c r="CQ84" i="14"/>
  <c r="CS88" i="14"/>
  <c r="CR106" i="14"/>
  <c r="CR107" i="14"/>
  <c r="CR108" i="14"/>
  <c r="CR109" i="14"/>
  <c r="CR110" i="14"/>
  <c r="CR113" i="14"/>
  <c r="CX114" i="14"/>
  <c r="CX115" i="14"/>
  <c r="CR120" i="14"/>
  <c r="CR121" i="14"/>
  <c r="CR123" i="14"/>
  <c r="CR125" i="14"/>
  <c r="CS128" i="14"/>
  <c r="CR129" i="14"/>
  <c r="CR130" i="14"/>
  <c r="CR133" i="14"/>
  <c r="CQ136" i="14"/>
  <c r="CQ138" i="14"/>
  <c r="CQ143" i="14"/>
  <c r="CQ147" i="14"/>
  <c r="CQ152" i="14"/>
  <c r="CW83" i="14"/>
  <c r="B85" i="14"/>
  <c r="CQ86" i="14"/>
  <c r="CU88" i="14"/>
  <c r="CQ91" i="14"/>
  <c r="CW101" i="14"/>
  <c r="CU108" i="14"/>
  <c r="CX112" i="14"/>
  <c r="CX113" i="14"/>
  <c r="CQ117" i="14"/>
  <c r="CR118" i="14"/>
  <c r="CR119" i="14"/>
  <c r="CX120" i="14"/>
  <c r="CW128" i="14"/>
  <c r="CS130" i="14"/>
  <c r="CQ131" i="14"/>
  <c r="CQ134" i="14"/>
  <c r="CS136" i="14"/>
  <c r="CS138" i="14"/>
  <c r="CQ144" i="14"/>
  <c r="D108" i="24"/>
  <c r="D110" i="24"/>
  <c r="C7" i="24"/>
  <c r="I25" i="24"/>
  <c r="T25" i="24" s="1"/>
  <c r="T36" i="24" s="1"/>
  <c r="H39" i="24"/>
  <c r="Q29" i="24" s="1"/>
  <c r="C8" i="24"/>
  <c r="H24" i="24"/>
  <c r="U30" i="24" s="1"/>
  <c r="I26" i="24"/>
  <c r="S25" i="24" s="1"/>
  <c r="S36" i="24" s="1"/>
  <c r="I43" i="24" s="1"/>
  <c r="I39" i="24"/>
  <c r="Q28" i="24" s="1"/>
  <c r="AD77" i="14" l="1"/>
  <c r="AC59" i="14"/>
  <c r="X55" i="14"/>
  <c r="N55" i="14"/>
  <c r="X67" i="14"/>
  <c r="W74" i="14" s="1"/>
  <c r="AR24" i="14"/>
  <c r="AG90" i="14"/>
  <c r="AH90" i="14" s="1"/>
  <c r="K58" i="14"/>
  <c r="L58" i="14" s="1"/>
  <c r="H57" i="14" s="1"/>
  <c r="K50" i="14"/>
  <c r="L50" i="14" s="1"/>
  <c r="H47" i="14" s="1"/>
  <c r="AO9" i="14"/>
  <c r="AM9" i="14" s="1"/>
  <c r="AI9" i="14" s="1"/>
  <c r="AJ9" i="14" s="1"/>
  <c r="AH8" i="14"/>
  <c r="AI11" i="14" s="1"/>
  <c r="AJ14" i="14" s="1"/>
  <c r="AA68" i="14"/>
  <c r="V70" i="14" s="1"/>
  <c r="AJ70" i="14" s="1"/>
  <c r="W81" i="14"/>
  <c r="X75" i="14"/>
  <c r="AD80" i="14" s="1"/>
  <c r="C124" i="14" s="1"/>
  <c r="W100" i="14"/>
  <c r="M53" i="14"/>
  <c r="AC68" i="14"/>
  <c r="AA48" i="14"/>
  <c r="V49" i="14" s="1"/>
  <c r="AJ48" i="14" s="1"/>
  <c r="AR49" i="14" s="1"/>
  <c r="AP49" i="14" s="1"/>
  <c r="AL49" i="14" s="1"/>
  <c r="AM49" i="14" s="1"/>
  <c r="L55" i="14"/>
  <c r="L63" i="14" s="1"/>
  <c r="K59" i="14"/>
  <c r="L59" i="14" s="1"/>
  <c r="H58" i="14" s="1"/>
  <c r="G45" i="14"/>
  <c r="AG91" i="14"/>
  <c r="AH91" i="14" s="1"/>
  <c r="V9" i="14"/>
  <c r="AG9" i="14" s="1"/>
  <c r="B82" i="14"/>
  <c r="CR8" i="14" s="1"/>
  <c r="G73" i="34"/>
  <c r="AD19" i="14"/>
  <c r="W19" i="14"/>
  <c r="K36" i="14"/>
  <c r="L36" i="14" s="1"/>
  <c r="H35" i="14" s="1"/>
  <c r="AE101" i="14"/>
  <c r="AC94" i="14"/>
  <c r="AE97" i="14"/>
  <c r="AF97" i="14" s="1"/>
  <c r="AE95" i="14"/>
  <c r="AF95" i="14" s="1"/>
  <c r="AC92" i="14"/>
  <c r="AE90" i="14"/>
  <c r="AF90" i="14" s="1"/>
  <c r="AE96" i="14"/>
  <c r="AF96" i="14" s="1"/>
  <c r="AE93" i="14"/>
  <c r="AF93" i="14" s="1"/>
  <c r="AE92" i="14"/>
  <c r="AF92" i="14" s="1"/>
  <c r="AE91" i="14"/>
  <c r="AF91" i="14" s="1"/>
  <c r="AE99" i="14"/>
  <c r="AF99" i="14" s="1"/>
  <c r="AC96" i="14"/>
  <c r="AC93" i="14"/>
  <c r="AC91" i="14"/>
  <c r="AE100" i="14"/>
  <c r="AF100" i="14" s="1"/>
  <c r="AE98" i="14"/>
  <c r="AF98" i="14" s="1"/>
  <c r="AC95" i="14"/>
  <c r="AE94" i="14"/>
  <c r="AF94" i="14" s="1"/>
  <c r="AC90" i="14"/>
  <c r="W63" i="14"/>
  <c r="AD59" i="14"/>
  <c r="N27" i="14"/>
  <c r="P27" i="14" s="1"/>
  <c r="L18" i="14"/>
  <c r="AC7" i="14"/>
  <c r="X6" i="14"/>
  <c r="AG94" i="14"/>
  <c r="AH94" i="14" s="1"/>
  <c r="AG99" i="14"/>
  <c r="AH99" i="14" s="1"/>
  <c r="AG96" i="14"/>
  <c r="AH96" i="14" s="1"/>
  <c r="X105" i="14"/>
  <c r="Y99" i="14"/>
  <c r="W101" i="14"/>
  <c r="AA28" i="14"/>
  <c r="V29" i="14" s="1"/>
  <c r="AG30" i="14" s="1"/>
  <c r="AH30" i="14" s="1"/>
  <c r="AI33" i="14" s="1"/>
  <c r="AI35" i="14" s="1"/>
  <c r="AG98" i="14"/>
  <c r="AH98" i="14" s="1"/>
  <c r="AG95" i="14"/>
  <c r="AH95" i="14" s="1"/>
  <c r="AG92" i="14"/>
  <c r="AH92" i="14" s="1"/>
  <c r="G34" i="14"/>
  <c r="N35" i="14" s="1"/>
  <c r="W20" i="14"/>
  <c r="AD20" i="14"/>
  <c r="AG100" i="14"/>
  <c r="AH100" i="14" s="1"/>
  <c r="AG97" i="14"/>
  <c r="AH97" i="14" s="1"/>
  <c r="O35" i="24"/>
  <c r="O37" i="24" s="1"/>
  <c r="C38" i="24"/>
  <c r="B45" i="24" s="1"/>
  <c r="M35" i="24"/>
  <c r="Z21" i="34"/>
  <c r="W44" i="14"/>
  <c r="AD40" i="14"/>
  <c r="C122" i="14" s="1"/>
  <c r="H50" i="14"/>
  <c r="H61" i="14"/>
  <c r="W41" i="14"/>
  <c r="AD37" i="14"/>
  <c r="I24" i="24"/>
  <c r="AD68" i="14" l="1"/>
  <c r="AR26" i="14"/>
  <c r="AD60" i="14"/>
  <c r="C123" i="14" s="1"/>
  <c r="W64" i="14"/>
  <c r="X87" i="14" s="1"/>
  <c r="M46" i="14"/>
  <c r="N48" i="14"/>
  <c r="N63" i="14" s="1"/>
  <c r="P63" i="14" s="1"/>
  <c r="AH9" i="14"/>
  <c r="AI12" i="14" s="1"/>
  <c r="AJ15" i="14" s="1"/>
  <c r="AR17" i="14" s="1"/>
  <c r="AO10" i="14"/>
  <c r="AM10" i="14" s="1"/>
  <c r="AI10" i="14" s="1"/>
  <c r="AJ10" i="14" s="1"/>
  <c r="AD71" i="14"/>
  <c r="V69" i="14"/>
  <c r="AJ69" i="14" s="1"/>
  <c r="AO31" i="14"/>
  <c r="AM31" i="14" s="1"/>
  <c r="AI31" i="14" s="1"/>
  <c r="AJ31" i="14" s="1"/>
  <c r="W71" i="14"/>
  <c r="X47" i="14"/>
  <c r="W54" i="14" s="1"/>
  <c r="AK48" i="14"/>
  <c r="AL51" i="14" s="1"/>
  <c r="AL53" i="14" s="1"/>
  <c r="W84" i="14"/>
  <c r="Z66" i="14"/>
  <c r="V50" i="14"/>
  <c r="AJ49" i="14" s="1"/>
  <c r="AR50" i="14" s="1"/>
  <c r="AP50" i="14" s="1"/>
  <c r="AL50" i="14" s="1"/>
  <c r="AM50" i="14" s="1"/>
  <c r="X107" i="14"/>
  <c r="AR27" i="14"/>
  <c r="L95" i="14"/>
  <c r="AC48" i="14"/>
  <c r="W51" i="14" s="1"/>
  <c r="V30" i="14"/>
  <c r="AG31" i="14" s="1"/>
  <c r="AO32" i="14" s="1"/>
  <c r="AM32" i="14" s="1"/>
  <c r="AI32" i="14" s="1"/>
  <c r="AJ32" i="14" s="1"/>
  <c r="M33" i="14"/>
  <c r="W10" i="14"/>
  <c r="AD7" i="14"/>
  <c r="AQ7" i="14" s="1"/>
  <c r="AV9" i="14"/>
  <c r="W13" i="14"/>
  <c r="AD10" i="14"/>
  <c r="C113" i="14" s="1"/>
  <c r="AF101" i="14"/>
  <c r="AD89" i="14"/>
  <c r="AC28" i="14"/>
  <c r="X27" i="14" s="1"/>
  <c r="AC99" i="14"/>
  <c r="AF102" i="14" s="1"/>
  <c r="C125" i="14" s="1"/>
  <c r="AR71" i="14"/>
  <c r="AP71" i="14" s="1"/>
  <c r="AL71" i="14" s="1"/>
  <c r="AM71" i="14" s="1"/>
  <c r="AK70" i="14"/>
  <c r="AL73" i="14" s="1"/>
  <c r="AL75" i="14" s="1"/>
  <c r="AR20" i="14" s="1"/>
  <c r="Q25" i="24"/>
  <c r="I27" i="24"/>
  <c r="V25" i="24" s="1"/>
  <c r="C116" i="14" l="1"/>
  <c r="AQ10" i="14"/>
  <c r="AK69" i="14"/>
  <c r="AL72" i="14" s="1"/>
  <c r="AL74" i="14" s="1"/>
  <c r="AR70" i="14"/>
  <c r="AP70" i="14" s="1"/>
  <c r="AL70" i="14" s="1"/>
  <c r="AM70" i="14" s="1"/>
  <c r="AD51" i="14"/>
  <c r="AD48" i="14"/>
  <c r="AQ9" i="14" s="1"/>
  <c r="Z46" i="14"/>
  <c r="X106" i="14"/>
  <c r="X108" i="14" s="1"/>
  <c r="W110" i="14" s="1"/>
  <c r="AK49" i="14"/>
  <c r="AL52" i="14" s="1"/>
  <c r="AL54" i="14" s="1"/>
  <c r="AR19" i="14" s="1"/>
  <c r="Z25" i="14"/>
  <c r="W34" i="14"/>
  <c r="X86" i="14" s="1"/>
  <c r="AD28" i="14"/>
  <c r="C114" i="14" s="1"/>
  <c r="AH31" i="14"/>
  <c r="AI34" i="14" s="1"/>
  <c r="AI36" i="14" s="1"/>
  <c r="AR18" i="14" s="1"/>
  <c r="W31" i="14"/>
  <c r="B115" i="14"/>
  <c r="AD31" i="14"/>
  <c r="Q31" i="24"/>
  <c r="R31" i="24"/>
  <c r="C115" i="14" l="1"/>
  <c r="AQ8" i="14"/>
  <c r="I41" i="24"/>
  <c r="B44" i="24"/>
  <c r="P5" i="3" l="1"/>
  <c r="R3" i="3"/>
  <c r="R48" i="3"/>
  <c r="P3" i="3"/>
  <c r="R45" i="3"/>
  <c r="R47" i="3"/>
  <c r="R2" i="3"/>
  <c r="R25" i="3"/>
  <c r="P47" i="3"/>
  <c r="P45" i="3"/>
  <c r="P29" i="3"/>
  <c r="P33" i="3"/>
  <c r="P2" i="3"/>
  <c r="P48" i="3"/>
  <c r="W34" i="3"/>
  <c r="W47" i="3"/>
  <c r="W48" i="3"/>
  <c r="W29" i="3"/>
  <c r="W45" i="3"/>
  <c r="W49" i="3"/>
  <c r="R49" i="3"/>
  <c r="P49" i="3"/>
  <c r="W50" i="3"/>
  <c r="R50" i="3"/>
  <c r="P50" i="3"/>
  <c r="P36" i="3"/>
  <c r="P21" i="3"/>
  <c r="R5" i="3"/>
  <c r="W25" i="3"/>
  <c r="R41" i="3"/>
  <c r="W40" i="3"/>
  <c r="W14" i="3"/>
  <c r="W37" i="3"/>
  <c r="W13" i="3"/>
  <c r="P22" i="3"/>
  <c r="W9" i="3"/>
  <c r="R11" i="3"/>
  <c r="R17" i="3"/>
  <c r="P8" i="3"/>
  <c r="W10" i="3"/>
  <c r="P7" i="3"/>
  <c r="W33" i="3"/>
  <c r="P34" i="3"/>
  <c r="W35" i="3"/>
  <c r="R44" i="3"/>
  <c r="P12" i="3"/>
  <c r="R15" i="3"/>
  <c r="R39" i="3"/>
  <c r="R12" i="3"/>
  <c r="P28" i="3"/>
  <c r="P4" i="3"/>
  <c r="P27" i="3"/>
  <c r="W16" i="3"/>
  <c r="W3" i="3"/>
  <c r="P38" i="3"/>
  <c r="R38" i="3"/>
  <c r="W39" i="3"/>
  <c r="W22" i="3"/>
  <c r="R13" i="3"/>
  <c r="P43" i="3"/>
  <c r="W46" i="3"/>
  <c r="W5" i="3"/>
  <c r="R28" i="3"/>
  <c r="R21" i="3"/>
  <c r="R37" i="3"/>
  <c r="W38" i="3"/>
  <c r="P9" i="3"/>
  <c r="W26" i="3"/>
  <c r="W28" i="3"/>
  <c r="R34" i="3"/>
  <c r="W27" i="3"/>
  <c r="P41" i="3"/>
  <c r="P14" i="3"/>
  <c r="R29" i="3"/>
  <c r="R22" i="3"/>
  <c r="P15" i="3"/>
  <c r="W2" i="3"/>
  <c r="R7" i="3"/>
  <c r="R26" i="3"/>
  <c r="R9" i="3"/>
  <c r="W43" i="3"/>
  <c r="P40" i="3"/>
  <c r="P44" i="3"/>
  <c r="P16" i="3"/>
  <c r="P13" i="3"/>
  <c r="W8" i="3"/>
  <c r="P25" i="3"/>
  <c r="W17" i="3"/>
  <c r="R27" i="3"/>
  <c r="W41" i="3"/>
  <c r="W11" i="3"/>
  <c r="R8" i="3"/>
  <c r="R35" i="3"/>
  <c r="R14" i="3"/>
  <c r="W30" i="3"/>
  <c r="R46" i="3"/>
  <c r="P11" i="3"/>
  <c r="W4" i="3"/>
  <c r="W44" i="3"/>
  <c r="P37" i="3"/>
  <c r="P35" i="3"/>
  <c r="R36" i="3"/>
  <c r="W21" i="3"/>
  <c r="R33" i="3"/>
  <c r="R42" i="3"/>
  <c r="P30" i="3"/>
  <c r="R43" i="3"/>
  <c r="P46" i="3"/>
  <c r="W36" i="3"/>
  <c r="W7" i="3"/>
  <c r="P42" i="3"/>
  <c r="P17" i="3"/>
  <c r="P6" i="3"/>
  <c r="W42" i="3"/>
  <c r="R30" i="3"/>
  <c r="P26" i="3"/>
  <c r="W15" i="3"/>
  <c r="R6" i="3"/>
  <c r="W12" i="3"/>
  <c r="R40" i="3"/>
  <c r="W6" i="3"/>
  <c r="R10" i="3"/>
  <c r="R4" i="3"/>
  <c r="P39" i="3"/>
  <c r="R16" i="3"/>
  <c r="P10" i="3"/>
  <c r="H42" i="28" l="1"/>
  <c r="H38" i="28"/>
  <c r="H39" i="28"/>
  <c r="G41" i="28"/>
  <c r="G40" i="28"/>
  <c r="H40" i="28"/>
  <c r="G42" i="28" l="1"/>
  <c r="G38" i="28"/>
  <c r="H41" i="28"/>
  <c r="G39" i="28"/>
  <c r="B3" i="28" l="1"/>
  <c r="BG21" i="28"/>
  <c r="BG33" i="28"/>
  <c r="BG20" i="28"/>
  <c r="BG24" i="28"/>
  <c r="BG23" i="28"/>
  <c r="BG29" i="28"/>
  <c r="BG31" i="28"/>
  <c r="BG44" i="28"/>
  <c r="BG45" i="28"/>
  <c r="BG32" i="28"/>
  <c r="BG27" i="28"/>
  <c r="BG28" i="28"/>
  <c r="BG25" i="28"/>
  <c r="C44" i="28" l="1"/>
  <c r="H44" i="28" l="1"/>
  <c r="G44" i="28"/>
  <c r="G51" i="28" l="1"/>
  <c r="C37" i="28" l="1"/>
  <c r="H37" i="28" s="1"/>
  <c r="G37" i="28" l="1"/>
  <c r="F26" i="38"/>
  <c r="E25" i="38" l="1"/>
  <c r="E1" i="38"/>
  <c r="N74" i="38"/>
  <c r="E86" i="38"/>
  <c r="E55" i="38"/>
  <c r="N86" i="38"/>
  <c r="E62" i="38"/>
  <c r="E49" i="38"/>
  <c r="F51" i="38" s="1"/>
  <c r="E37" i="38"/>
  <c r="E13" i="38"/>
  <c r="I95" i="38"/>
  <c r="E74" i="38"/>
  <c r="N62" i="38"/>
  <c r="O72" i="38" s="1"/>
  <c r="P73" i="38" s="1"/>
  <c r="O68" i="38"/>
  <c r="P68" i="38" s="1"/>
  <c r="F75" i="38"/>
  <c r="L82" i="38" l="1"/>
  <c r="C152" i="34" s="1"/>
  <c r="B5" i="34" s="1"/>
  <c r="L77" i="38"/>
  <c r="O77" i="38" s="1"/>
  <c r="P77" i="38" s="1"/>
  <c r="L83" i="38"/>
  <c r="O83" i="38" s="1"/>
  <c r="L76" i="38"/>
  <c r="O76" i="38" s="1"/>
  <c r="P76" i="38" s="1"/>
  <c r="K85" i="38" s="1"/>
  <c r="C45" i="38"/>
  <c r="F45" i="38" s="1"/>
  <c r="C39" i="38"/>
  <c r="C46" i="38"/>
  <c r="F46" i="38" s="1"/>
  <c r="H46" i="38" s="1"/>
  <c r="C40" i="38"/>
  <c r="F40" i="38" s="1"/>
  <c r="H40" i="38" s="1"/>
  <c r="L95" i="38"/>
  <c r="O95" i="38" s="1"/>
  <c r="L88" i="38"/>
  <c r="O88" i="38" s="1"/>
  <c r="L94" i="38"/>
  <c r="C169" i="34" s="1"/>
  <c r="L89" i="38"/>
  <c r="O89" i="38" s="1"/>
  <c r="P89" i="38" s="1"/>
  <c r="C9" i="38"/>
  <c r="F9" i="38" s="1"/>
  <c r="C10" i="38"/>
  <c r="F10" i="38" s="1"/>
  <c r="C4" i="38"/>
  <c r="C3" i="38"/>
  <c r="F4" i="38" s="1"/>
  <c r="F5" i="38"/>
  <c r="C65" i="38"/>
  <c r="F65" i="38" s="1"/>
  <c r="H65" i="38" s="1"/>
  <c r="C71" i="38"/>
  <c r="F71" i="38" s="1"/>
  <c r="C70" i="38"/>
  <c r="C74" i="34" s="1"/>
  <c r="C64" i="38"/>
  <c r="F64" i="38" s="1"/>
  <c r="H64" i="38" s="1"/>
  <c r="C59" i="38"/>
  <c r="F59" i="38" s="1"/>
  <c r="H59" i="38" s="1"/>
  <c r="C58" i="38"/>
  <c r="F58" i="38" s="1"/>
  <c r="H58" i="38" s="1"/>
  <c r="B61" i="38" s="1"/>
  <c r="F7" i="38"/>
  <c r="F11" i="38"/>
  <c r="O66" i="38"/>
  <c r="P66" i="38" s="1"/>
  <c r="O64" i="38"/>
  <c r="P64" i="38" s="1"/>
  <c r="K73" i="38" s="1"/>
  <c r="P78" i="38"/>
  <c r="H39" i="38"/>
  <c r="P88" i="38"/>
  <c r="K97" i="38" s="1"/>
  <c r="O96" i="38"/>
  <c r="H68" i="38"/>
  <c r="H47" i="38"/>
  <c r="F48" i="38" s="1"/>
  <c r="AK41" i="38" s="1"/>
  <c r="H43" i="38"/>
  <c r="H60" i="38"/>
  <c r="H24" i="38"/>
  <c r="H22" i="38"/>
  <c r="H16" i="38"/>
  <c r="H15" i="38"/>
  <c r="O71" i="38"/>
  <c r="P71" i="38" s="1"/>
  <c r="O65" i="38"/>
  <c r="P65" i="38" s="1"/>
  <c r="H76" i="38"/>
  <c r="H77" i="38"/>
  <c r="H34" i="38"/>
  <c r="H28" i="38"/>
  <c r="H27" i="38"/>
  <c r="H95" i="38"/>
  <c r="H89" i="38"/>
  <c r="H88" i="38"/>
  <c r="H52" i="38"/>
  <c r="F54" i="38" s="1"/>
  <c r="H83" i="38"/>
  <c r="H84" i="38"/>
  <c r="H19" i="38"/>
  <c r="H51" i="38"/>
  <c r="G337" i="3"/>
  <c r="F321" i="3"/>
  <c r="D324" i="3"/>
  <c r="G324" i="3" s="1"/>
  <c r="D325" i="3"/>
  <c r="G325" i="3" s="1"/>
  <c r="F222" i="3"/>
  <c r="F227" i="3"/>
  <c r="C279" i="3"/>
  <c r="G296" i="3"/>
  <c r="G332" i="3"/>
  <c r="F289" i="3"/>
  <c r="G348" i="3"/>
  <c r="D357" i="3"/>
  <c r="G357" i="3" s="1"/>
  <c r="F297" i="3"/>
  <c r="C360" i="3"/>
  <c r="G265" i="3"/>
  <c r="G352" i="3"/>
  <c r="C289" i="3"/>
  <c r="C227" i="3"/>
  <c r="C316" i="3"/>
  <c r="D323" i="3"/>
  <c r="G323" i="3" s="1"/>
  <c r="C309" i="3"/>
  <c r="G253" i="3"/>
  <c r="C381" i="3"/>
  <c r="F331" i="3"/>
  <c r="D234" i="3"/>
  <c r="G234" i="3" s="1"/>
  <c r="C353" i="3"/>
  <c r="G216" i="3"/>
  <c r="D297" i="3"/>
  <c r="G297" i="3" s="1"/>
  <c r="G231" i="3"/>
  <c r="C383" i="3"/>
  <c r="F221" i="3"/>
  <c r="G287" i="3"/>
  <c r="C372" i="3"/>
  <c r="D272" i="3"/>
  <c r="G272" i="3" s="1"/>
  <c r="F320" i="3"/>
  <c r="G241" i="3"/>
  <c r="C271" i="3"/>
  <c r="D224" i="3"/>
  <c r="G224" i="3" s="1"/>
  <c r="C358" i="3"/>
  <c r="F243" i="3"/>
  <c r="D353" i="3"/>
  <c r="G353" i="3" s="1"/>
  <c r="F236" i="3"/>
  <c r="D243" i="3"/>
  <c r="G243" i="3" s="1"/>
  <c r="G230" i="3"/>
  <c r="C325" i="3"/>
  <c r="C349" i="3"/>
  <c r="G298" i="3"/>
  <c r="C303" i="3"/>
  <c r="F300" i="3"/>
  <c r="F341" i="3"/>
  <c r="D309" i="3"/>
  <c r="G309" i="3" s="1"/>
  <c r="C319" i="3"/>
  <c r="G261" i="3"/>
  <c r="G252" i="3"/>
  <c r="G215" i="3"/>
  <c r="D308" i="3"/>
  <c r="G308" i="3" s="1"/>
  <c r="C364" i="3"/>
  <c r="D240" i="3"/>
  <c r="G240" i="3" s="1"/>
  <c r="D379" i="3"/>
  <c r="G379" i="3" s="1"/>
  <c r="F268" i="3"/>
  <c r="G290" i="3"/>
  <c r="F224" i="3"/>
  <c r="F248" i="3"/>
  <c r="G329" i="3"/>
  <c r="F316" i="3"/>
  <c r="F238" i="3"/>
  <c r="D271" i="3"/>
  <c r="G271" i="3" s="1"/>
  <c r="C350" i="3"/>
  <c r="C345" i="3"/>
  <c r="G378" i="3"/>
  <c r="F353" i="3"/>
  <c r="C341" i="3"/>
  <c r="D228" i="3"/>
  <c r="G228" i="3" s="1"/>
  <c r="C301" i="3"/>
  <c r="G247" i="3"/>
  <c r="G273" i="3"/>
  <c r="G355" i="3"/>
  <c r="C236" i="3"/>
  <c r="C367" i="3"/>
  <c r="D295" i="3"/>
  <c r="G295" i="3" s="1"/>
  <c r="D223" i="3"/>
  <c r="G223" i="3" s="1"/>
  <c r="C240" i="3"/>
  <c r="G213" i="3"/>
  <c r="C312" i="3"/>
  <c r="F343" i="3"/>
  <c r="C335" i="3"/>
  <c r="F57" i="38"/>
  <c r="H57" i="38" s="1"/>
  <c r="D306" i="3"/>
  <c r="G306" i="3" s="1"/>
  <c r="F377" i="3"/>
  <c r="F260" i="3"/>
  <c r="C250" i="3"/>
  <c r="C371" i="3"/>
  <c r="C321" i="3"/>
  <c r="D268" i="3"/>
  <c r="G268" i="3" s="1"/>
  <c r="C370" i="3"/>
  <c r="C224" i="3"/>
  <c r="F356" i="3"/>
  <c r="F240" i="3"/>
  <c r="F312" i="3"/>
  <c r="G363" i="3"/>
  <c r="G266" i="3"/>
  <c r="C211" i="3"/>
  <c r="G310" i="3"/>
  <c r="G263" i="3"/>
  <c r="F324" i="3"/>
  <c r="C305" i="3"/>
  <c r="D341" i="3"/>
  <c r="G341" i="3" s="1"/>
  <c r="F223" i="3"/>
  <c r="D246" i="3"/>
  <c r="G246" i="3" s="1"/>
  <c r="G270" i="3"/>
  <c r="F384" i="3"/>
  <c r="G275" i="3"/>
  <c r="G359" i="3"/>
  <c r="F309" i="3"/>
  <c r="F301" i="3"/>
  <c r="D360" i="3"/>
  <c r="G360" i="3" s="1"/>
  <c r="G284" i="3"/>
  <c r="G373" i="3"/>
  <c r="F33" i="38"/>
  <c r="H35" i="38"/>
  <c r="AK42" i="38"/>
  <c r="O63" i="38"/>
  <c r="H78" i="38"/>
  <c r="H80" i="38"/>
  <c r="F371" i="3"/>
  <c r="D300" i="3"/>
  <c r="G300" i="3" s="1"/>
  <c r="D358" i="3"/>
  <c r="G358" i="3" s="1"/>
  <c r="D313" i="3"/>
  <c r="G313" i="3" s="1"/>
  <c r="D347" i="3"/>
  <c r="G347" i="3" s="1"/>
  <c r="F376" i="3"/>
  <c r="C374" i="3"/>
  <c r="C262" i="3"/>
  <c r="F232" i="3"/>
  <c r="C276" i="3"/>
  <c r="G338" i="3"/>
  <c r="C237" i="3"/>
  <c r="D232" i="3"/>
  <c r="G232" i="3" s="1"/>
  <c r="G328" i="3"/>
  <c r="D319" i="3"/>
  <c r="G319" i="3" s="1"/>
  <c r="G280" i="3"/>
  <c r="F210" i="3"/>
  <c r="D350" i="3"/>
  <c r="G350" i="3" s="1"/>
  <c r="F370" i="3"/>
  <c r="G219" i="3"/>
  <c r="C324" i="3"/>
  <c r="D343" i="3"/>
  <c r="G343" i="3" s="1"/>
  <c r="C311" i="3"/>
  <c r="G293" i="3"/>
  <c r="G291" i="3"/>
  <c r="F323" i="3"/>
  <c r="D305" i="3"/>
  <c r="G305" i="3" s="1"/>
  <c r="G267" i="3"/>
  <c r="D222" i="3"/>
  <c r="G222" i="3" s="1"/>
  <c r="C299" i="3"/>
  <c r="F299" i="3"/>
  <c r="G217" i="3"/>
  <c r="F229" i="3"/>
  <c r="C361" i="3"/>
  <c r="F271" i="3"/>
  <c r="C300" i="3"/>
  <c r="C246" i="3"/>
  <c r="D260" i="3"/>
  <c r="G260" i="3" s="1"/>
  <c r="D299" i="3"/>
  <c r="G299" i="3" s="1"/>
  <c r="G286" i="3"/>
  <c r="F225" i="3"/>
  <c r="G294" i="3"/>
  <c r="D364" i="3"/>
  <c r="G364" i="3" s="1"/>
  <c r="G258" i="3"/>
  <c r="G326" i="3"/>
  <c r="F218" i="3"/>
  <c r="F325" i="3"/>
  <c r="F277" i="3"/>
  <c r="D250" i="3"/>
  <c r="G250" i="3" s="1"/>
  <c r="F211" i="3"/>
  <c r="G354" i="3"/>
  <c r="F308" i="3"/>
  <c r="D377" i="3"/>
  <c r="G377" i="3" s="1"/>
  <c r="G281" i="3"/>
  <c r="C295" i="3"/>
  <c r="G333" i="3"/>
  <c r="G242" i="3"/>
  <c r="G334" i="3"/>
  <c r="G254" i="3"/>
  <c r="D227" i="3"/>
  <c r="G227" i="3" s="1"/>
  <c r="F206" i="3"/>
  <c r="F367" i="3"/>
  <c r="D356" i="3"/>
  <c r="G356" i="3" s="1"/>
  <c r="C234" i="3"/>
  <c r="F335" i="3"/>
  <c r="D211" i="3"/>
  <c r="G211" i="3" s="1"/>
  <c r="F313" i="3"/>
  <c r="G386" i="3"/>
  <c r="C232" i="3"/>
  <c r="D361" i="3"/>
  <c r="G361" i="3" s="1"/>
  <c r="G304" i="3"/>
  <c r="D301" i="3"/>
  <c r="G301" i="3" s="1"/>
  <c r="F311" i="3"/>
  <c r="C264" i="3"/>
  <c r="G283" i="3"/>
  <c r="F352" i="3"/>
  <c r="G245" i="3"/>
  <c r="D312" i="3"/>
  <c r="G312" i="3" s="1"/>
  <c r="D381" i="3"/>
  <c r="G381" i="3" s="1"/>
  <c r="G255" i="3"/>
  <c r="F327" i="3"/>
  <c r="F360" i="3"/>
  <c r="C223" i="3"/>
  <c r="F228" i="3"/>
  <c r="C336" i="3"/>
  <c r="F272" i="3"/>
  <c r="G368" i="3"/>
  <c r="F364" i="3"/>
  <c r="G366" i="3"/>
  <c r="G342" i="3"/>
  <c r="C222" i="3"/>
  <c r="F358" i="3"/>
  <c r="G344" i="3"/>
  <c r="D238" i="3"/>
  <c r="G238" i="3" s="1"/>
  <c r="F350" i="3"/>
  <c r="C272" i="3"/>
  <c r="D316" i="3"/>
  <c r="G316" i="3" s="1"/>
  <c r="G220" i="3"/>
  <c r="G345" i="3"/>
  <c r="D376" i="3"/>
  <c r="G376" i="3" s="1"/>
  <c r="D384" i="3"/>
  <c r="G384" i="3" s="1"/>
  <c r="G322" i="3"/>
  <c r="F347" i="3"/>
  <c r="F262" i="3"/>
  <c r="G385" i="3"/>
  <c r="G257" i="3"/>
  <c r="F340" i="3"/>
  <c r="C297" i="3"/>
  <c r="F276" i="3"/>
  <c r="G387" i="3"/>
  <c r="C243" i="3"/>
  <c r="F357" i="3"/>
  <c r="D374" i="3"/>
  <c r="G374" i="3" s="1"/>
  <c r="C313" i="3"/>
  <c r="G307" i="3"/>
  <c r="D320" i="3"/>
  <c r="G320" i="3" s="1"/>
  <c r="G233" i="3"/>
  <c r="C357" i="3"/>
  <c r="C221" i="3"/>
  <c r="D289" i="3"/>
  <c r="G289" i="3" s="1"/>
  <c r="G278" i="3"/>
  <c r="G314" i="3"/>
  <c r="C229" i="3"/>
  <c r="C238" i="3"/>
  <c r="D302" i="3"/>
  <c r="G302" i="3" s="1"/>
  <c r="C369" i="3"/>
  <c r="G292" i="3"/>
  <c r="C306" i="3"/>
  <c r="F306" i="3"/>
  <c r="D239" i="3"/>
  <c r="G239" i="3" s="1"/>
  <c r="C331" i="3"/>
  <c r="F369" i="3"/>
  <c r="D262" i="3"/>
  <c r="G262" i="3" s="1"/>
  <c r="D237" i="3"/>
  <c r="G237" i="3" s="1"/>
  <c r="G285" i="3"/>
  <c r="D340" i="3"/>
  <c r="G340" i="3" s="1"/>
  <c r="F264" i="3"/>
  <c r="F372" i="3"/>
  <c r="C228" i="3"/>
  <c r="G339" i="3"/>
  <c r="F303" i="3"/>
  <c r="D321" i="3"/>
  <c r="G321" i="3" s="1"/>
  <c r="F319" i="3"/>
  <c r="G259" i="3"/>
  <c r="C347" i="3"/>
  <c r="G288" i="3"/>
  <c r="C327" i="3"/>
  <c r="G251" i="3"/>
  <c r="D311" i="3"/>
  <c r="G311" i="3" s="1"/>
  <c r="D372" i="3"/>
  <c r="G372" i="3" s="1"/>
  <c r="F361" i="3"/>
  <c r="F239" i="3"/>
  <c r="D383" i="3"/>
  <c r="G383" i="3" s="1"/>
  <c r="D264" i="3"/>
  <c r="G264" i="3" s="1"/>
  <c r="G382" i="3"/>
  <c r="F246" i="3"/>
  <c r="G235" i="3"/>
  <c r="G380" i="3"/>
  <c r="D229" i="3"/>
  <c r="G229" i="3" s="1"/>
  <c r="G318" i="3"/>
  <c r="D276" i="3"/>
  <c r="G276" i="3" s="1"/>
  <c r="F279" i="3"/>
  <c r="G365" i="3"/>
  <c r="C323" i="3"/>
  <c r="C260" i="3"/>
  <c r="G317" i="3"/>
  <c r="G375" i="3"/>
  <c r="F383" i="3"/>
  <c r="C308" i="3"/>
  <c r="C384" i="3"/>
  <c r="D236" i="3"/>
  <c r="G236" i="3" s="1"/>
  <c r="D277" i="3"/>
  <c r="G277" i="3" s="1"/>
  <c r="G249" i="3"/>
  <c r="G214" i="3"/>
  <c r="D371" i="3"/>
  <c r="G371" i="3" s="1"/>
  <c r="C239" i="3"/>
  <c r="D218" i="3"/>
  <c r="G218" i="3" s="1"/>
  <c r="D367" i="3"/>
  <c r="G367" i="3" s="1"/>
  <c r="D369" i="3"/>
  <c r="G369" i="3" s="1"/>
  <c r="G244" i="3"/>
  <c r="F250" i="3"/>
  <c r="G282" i="3"/>
  <c r="C340" i="3"/>
  <c r="G315" i="3"/>
  <c r="D248" i="3"/>
  <c r="G248" i="3" s="1"/>
  <c r="G269" i="3"/>
  <c r="F338" i="3"/>
  <c r="F237" i="3"/>
  <c r="C379" i="3"/>
  <c r="C377" i="3"/>
  <c r="G346" i="3"/>
  <c r="D327" i="3"/>
  <c r="G327" i="3" s="1"/>
  <c r="G330" i="3"/>
  <c r="C218" i="3"/>
  <c r="C356" i="3"/>
  <c r="G274" i="3"/>
  <c r="G349" i="3"/>
  <c r="C343" i="3"/>
  <c r="D210" i="3"/>
  <c r="G210" i="3" s="1"/>
  <c r="D303" i="3"/>
  <c r="G303" i="3" s="1"/>
  <c r="C268" i="3"/>
  <c r="G256" i="3"/>
  <c r="F381" i="3"/>
  <c r="C376" i="3"/>
  <c r="D370" i="3"/>
  <c r="G370" i="3" s="1"/>
  <c r="G362" i="3"/>
  <c r="F305" i="3"/>
  <c r="C225" i="3"/>
  <c r="C277" i="3"/>
  <c r="D279" i="3"/>
  <c r="G279" i="3" s="1"/>
  <c r="F295" i="3"/>
  <c r="D225" i="3"/>
  <c r="G225" i="3" s="1"/>
  <c r="F379" i="3"/>
  <c r="D331" i="3"/>
  <c r="G331" i="3" s="1"/>
  <c r="F234" i="3"/>
  <c r="G351" i="3"/>
  <c r="C320" i="3"/>
  <c r="F290" i="3"/>
  <c r="D335" i="3"/>
  <c r="G335" i="3" s="1"/>
  <c r="D221" i="3"/>
  <c r="G221" i="3" s="1"/>
  <c r="G336" i="3"/>
  <c r="F374" i="3"/>
  <c r="O92" i="38"/>
  <c r="H92" i="38"/>
  <c r="O94" i="38" l="1"/>
  <c r="I59" i="38"/>
  <c r="F3" i="38"/>
  <c r="G72" i="34"/>
  <c r="AE61" i="38"/>
  <c r="AN61" i="38" s="1"/>
  <c r="AR61" i="38" s="1"/>
  <c r="AN23" i="38"/>
  <c r="AE72" i="38"/>
  <c r="AE50" i="38"/>
  <c r="AN51" i="38" s="1"/>
  <c r="M73" i="38"/>
  <c r="D85" i="38"/>
  <c r="B85" i="38"/>
  <c r="AD63" i="38" s="1"/>
  <c r="D97" i="38"/>
  <c r="B73" i="38"/>
  <c r="AD52" i="38" s="1"/>
  <c r="AC35" i="38"/>
  <c r="AE35" i="38" s="1"/>
  <c r="H31" i="38"/>
  <c r="B36" i="38" s="1"/>
  <c r="F101" i="38"/>
  <c r="F2" i="38"/>
  <c r="F61" i="38"/>
  <c r="G226" i="3"/>
  <c r="B97" i="38"/>
  <c r="AD74" i="38" s="1"/>
  <c r="D36" i="38"/>
  <c r="E24" i="38"/>
  <c r="D24" i="38"/>
  <c r="B24" i="38"/>
  <c r="J56" i="38" s="1"/>
  <c r="D48" i="38"/>
  <c r="AG41" i="38" s="1"/>
  <c r="G212" i="3"/>
  <c r="AJ53" i="38" s="1"/>
  <c r="AF8" i="3"/>
  <c r="AN6" i="38"/>
  <c r="AQ41" i="38"/>
  <c r="AN34" i="38"/>
  <c r="AI61" i="38" l="1"/>
  <c r="AE39" i="38"/>
  <c r="AN39" i="38" s="1"/>
  <c r="AR39" i="38" s="1"/>
  <c r="AI39" i="38" s="1"/>
  <c r="AD42" i="38"/>
  <c r="AG42" i="38"/>
  <c r="AP61" i="38"/>
  <c r="E36" i="38"/>
  <c r="AP41" i="38" l="1"/>
  <c r="BG19" i="28" l="1"/>
  <c r="AG17" i="38" l="1"/>
  <c r="C36" i="28" l="1"/>
  <c r="AN17" i="38"/>
  <c r="AT78" i="38" s="1"/>
  <c r="G36" i="28" l="1"/>
  <c r="H36" i="28"/>
  <c r="C43" i="28"/>
  <c r="AO21" i="38"/>
  <c r="AW78" i="38" s="1"/>
  <c r="G50" i="28" l="1"/>
  <c r="H43" i="28"/>
  <c r="G43" i="28"/>
  <c r="G52" i="28" l="1"/>
  <c r="BJ39" i="28" l="1"/>
  <c r="BJ9" i="28"/>
  <c r="BG13" i="28"/>
  <c r="BD27" i="28"/>
  <c r="BJ37" i="28"/>
  <c r="BJ38" i="28"/>
  <c r="BJ40" i="28"/>
  <c r="BI51" i="28"/>
  <c r="BF12" i="28"/>
  <c r="BE44" i="28"/>
  <c r="BI33" i="28"/>
  <c r="BG14" i="28"/>
  <c r="BJ50" i="28"/>
  <c r="BI28" i="28"/>
  <c r="BE42" i="28"/>
  <c r="BJ42" i="28"/>
  <c r="BI44" i="28"/>
  <c r="BD35" i="28"/>
  <c r="BK45" i="28"/>
  <c r="BI24" i="28"/>
  <c r="BK8" i="28"/>
  <c r="BD17" i="28"/>
  <c r="BJ36" i="28"/>
  <c r="BI17" i="28"/>
  <c r="BI41" i="28"/>
  <c r="BD28" i="28"/>
  <c r="BI49" i="28"/>
  <c r="BI25" i="28"/>
  <c r="BI40" i="28"/>
  <c r="BJ43" i="28"/>
  <c r="BD49" i="28"/>
  <c r="BD19" i="28"/>
  <c r="BD20" i="28"/>
  <c r="BD16" i="28"/>
  <c r="BI45" i="28"/>
  <c r="BD50" i="28"/>
  <c r="BI37" i="28"/>
  <c r="BD14" i="28"/>
  <c r="BH47" i="28"/>
  <c r="BD44" i="28"/>
  <c r="BD23" i="28"/>
  <c r="BE40" i="28"/>
  <c r="BD33" i="28"/>
  <c r="BI16" i="28"/>
  <c r="BD24" i="28"/>
  <c r="BJ51" i="28"/>
  <c r="BI20" i="28"/>
  <c r="BE37" i="28"/>
  <c r="BD29" i="28"/>
  <c r="BI32" i="28"/>
  <c r="BJ41" i="28"/>
  <c r="BJ44" i="28"/>
  <c r="BE36" i="28"/>
  <c r="BI52" i="28"/>
  <c r="BG16" i="28"/>
  <c r="BE39" i="28"/>
  <c r="BI48" i="28"/>
  <c r="BI36" i="28"/>
  <c r="BJ14" i="28"/>
  <c r="BI21" i="28"/>
  <c r="BD32" i="28"/>
  <c r="BE41" i="28"/>
  <c r="BE38" i="28"/>
  <c r="BD25" i="28"/>
  <c r="BI39" i="28"/>
  <c r="BG17" i="28"/>
  <c r="BD21" i="28"/>
  <c r="BG15" i="28"/>
  <c r="BD45" i="28"/>
  <c r="BI42" i="28"/>
  <c r="BI38" i="28"/>
  <c r="BI29" i="28"/>
  <c r="BI43" i="28"/>
  <c r="BI50" i="28"/>
  <c r="BK9" i="28"/>
  <c r="BD31" i="28"/>
  <c r="BE48" i="28"/>
  <c r="BD15" i="28"/>
  <c r="BK43" i="28" l="1"/>
  <c r="BJ13" i="28"/>
  <c r="BK37" i="28"/>
  <c r="BK40" i="28"/>
  <c r="BI13" i="28"/>
  <c r="BK42" i="28"/>
  <c r="BK44" i="28"/>
  <c r="BK36" i="28"/>
  <c r="BK41" i="28"/>
  <c r="BK47" i="28"/>
  <c r="BI15" i="28"/>
  <c r="BK38" i="28"/>
  <c r="BK39" i="28"/>
  <c r="H11" i="38"/>
  <c r="F12" i="38" s="1"/>
  <c r="AK30" i="38" s="1"/>
  <c r="H10" i="38"/>
  <c r="H3" i="38"/>
  <c r="H7" i="38"/>
  <c r="B48" i="38"/>
  <c r="H4" i="38"/>
  <c r="AD41" i="38" l="1"/>
  <c r="AQ42" i="38" s="1"/>
  <c r="B12" i="38"/>
  <c r="AD30" i="38" s="1"/>
  <c r="H12" i="38"/>
  <c r="AG30" i="38" s="1"/>
  <c r="AO41" i="38" l="1"/>
  <c r="AQ31" i="38"/>
  <c r="AP39" i="38"/>
  <c r="AR41" i="38" l="1"/>
  <c r="AP42" i="38" s="1"/>
  <c r="AP51" i="38" l="1"/>
  <c r="AR51" i="38"/>
  <c r="AI50" i="38" l="1"/>
  <c r="AC95" i="38" l="1"/>
  <c r="F14" i="38" l="1"/>
  <c r="G167" i="34"/>
  <c r="O87" i="38"/>
  <c r="AN67" i="38" s="1"/>
  <c r="Q87" i="38"/>
  <c r="O97" i="38" l="1"/>
  <c r="AM74" i="38" s="1"/>
  <c r="P95" i="38"/>
  <c r="M97" i="38" s="1"/>
  <c r="AG74" i="38" s="1"/>
  <c r="G150" i="34"/>
  <c r="AQ76" i="38" l="1"/>
  <c r="Q83" i="38"/>
  <c r="AJ63" i="38" s="1"/>
  <c r="O75" i="38"/>
  <c r="AN56" i="38" s="1"/>
  <c r="P84" i="38" l="1"/>
  <c r="O85" i="38" s="1"/>
  <c r="AM63" i="38" s="1"/>
  <c r="P83" i="38"/>
  <c r="M85" i="38" s="1"/>
  <c r="AG63" i="38" s="1"/>
  <c r="Q75" i="38"/>
  <c r="F63" i="38"/>
  <c r="AN45" i="38" s="1"/>
  <c r="AJ52" i="38"/>
  <c r="AQ65" i="38" l="1"/>
  <c r="F73" i="38"/>
  <c r="H72" i="38"/>
  <c r="AM52" i="38" s="1"/>
  <c r="H71" i="38"/>
  <c r="D73" i="38" s="1"/>
  <c r="AG52" i="38" s="1"/>
  <c r="I63" i="38"/>
  <c r="AQ54" i="38" l="1"/>
  <c r="AC94" i="38"/>
  <c r="AM64" i="38" l="1"/>
  <c r="AR63" i="38" s="1"/>
  <c r="AJ64" i="38"/>
  <c r="AQ63" i="38" s="1"/>
  <c r="AG64" i="38"/>
  <c r="AP63" i="38" s="1"/>
  <c r="AD64" i="38"/>
  <c r="AO63" i="38" s="1"/>
  <c r="AS63" i="38" l="1"/>
  <c r="AC49" i="38" l="1"/>
  <c r="AE49" i="38" s="1"/>
  <c r="AE69" i="38" l="1"/>
  <c r="AK68" i="38"/>
  <c r="AU75" i="38" s="1"/>
  <c r="AH70" i="38"/>
  <c r="AL70" i="38" s="1"/>
  <c r="AK67" i="38"/>
  <c r="AU74" i="38" s="1"/>
  <c r="AH72" i="38"/>
  <c r="AE70" i="38"/>
  <c r="AC71" i="38" s="1"/>
  <c r="AE71" i="38" s="1"/>
  <c r="AI72" i="38"/>
  <c r="AF74" i="38"/>
  <c r="AN73" i="38"/>
  <c r="AP73" i="38" s="1"/>
  <c r="AR74" i="38" l="1"/>
  <c r="AP74" i="38"/>
  <c r="AQ74" i="38"/>
  <c r="AR73" i="38"/>
  <c r="AS74" i="38" l="1"/>
  <c r="AT74" i="38" s="1"/>
  <c r="H161" i="34" l="1"/>
  <c r="B6" i="34" s="1"/>
  <c r="AN77" i="38" l="1"/>
  <c r="AG75" i="38" s="1"/>
  <c r="AP75" i="38" s="1"/>
  <c r="AM75" i="38" l="1"/>
  <c r="AR75" i="38" s="1"/>
  <c r="AJ75" i="38"/>
  <c r="AQ75" i="38" s="1"/>
  <c r="AD75" i="38"/>
  <c r="AO75" i="38" s="1"/>
  <c r="AD39" i="38"/>
  <c r="AE36" i="38"/>
  <c r="AK35" i="38"/>
  <c r="AK34" i="38"/>
  <c r="AE37" i="38"/>
  <c r="AL41" i="38"/>
  <c r="B47" i="28"/>
  <c r="AP46" i="38"/>
  <c r="AQ52" i="38"/>
  <c r="AS75" i="38" l="1"/>
  <c r="AO76" i="38" s="1"/>
  <c r="AG53" i="38"/>
  <c r="AP52" i="38" s="1"/>
  <c r="AD53" i="38"/>
  <c r="AO52" i="38" s="1"/>
  <c r="AM53" i="38"/>
  <c r="AR52" i="38" s="1"/>
  <c r="AC76" i="38" l="1"/>
  <c r="AP76" i="38"/>
  <c r="AS52" i="38"/>
  <c r="AO54" i="38" s="1"/>
  <c r="AC54" i="38" l="1"/>
  <c r="AP54" i="38"/>
  <c r="F405" i="3" l="1"/>
  <c r="AH27" i="38"/>
  <c r="AF59" i="38"/>
  <c r="E405" i="3" s="1"/>
  <c r="AD61" i="38"/>
  <c r="AC97" i="38"/>
  <c r="AO42" i="38"/>
  <c r="AM43" i="38" s="1"/>
  <c r="AF17" i="38"/>
  <c r="AL53" i="38"/>
  <c r="AG18" i="38"/>
  <c r="AE19" i="38"/>
  <c r="D40" i="28" s="1"/>
  <c r="AE18" i="38"/>
  <c r="D39" i="28" s="1"/>
  <c r="AG19" i="38"/>
  <c r="D42" i="28" s="1"/>
  <c r="AM54" i="38"/>
  <c r="AR65" i="38" l="1"/>
  <c r="AC65" i="38"/>
  <c r="B39" i="28"/>
  <c r="BD39" i="28" s="1"/>
  <c r="B40" i="28"/>
  <c r="BD40" i="28" s="1"/>
  <c r="AM76" i="38"/>
  <c r="B42" i="28"/>
  <c r="D41" i="28"/>
  <c r="B41" i="28"/>
  <c r="AP65" i="38" l="1"/>
  <c r="AO65" i="38"/>
  <c r="AM65" i="38" s="1"/>
  <c r="BG40" i="28"/>
  <c r="BG39" i="28"/>
  <c r="BG41" i="28"/>
  <c r="BD41" i="28"/>
  <c r="BG42" i="28"/>
  <c r="BD42" i="28"/>
  <c r="AS33" i="38" l="1"/>
  <c r="AT33" i="38" s="1"/>
  <c r="I57" i="34" l="1"/>
  <c r="AN32" i="38" s="1"/>
  <c r="AD31" i="38" l="1"/>
  <c r="AO30" i="38" s="1"/>
  <c r="AK31" i="38"/>
  <c r="AQ30" i="38" s="1"/>
  <c r="AL30" i="38" s="1"/>
  <c r="AE28" i="38"/>
  <c r="AN28" i="38" s="1"/>
  <c r="AG31" i="38"/>
  <c r="AP30" i="38" s="1"/>
  <c r="D7" i="34"/>
  <c r="AR28" i="38" l="1"/>
  <c r="AP28" i="38"/>
  <c r="AR78" i="38" l="1"/>
  <c r="C34" i="28" l="1"/>
  <c r="AR30" i="38"/>
  <c r="AP31" i="38" l="1"/>
  <c r="AN78" i="38" s="1"/>
  <c r="AO31" i="38"/>
  <c r="G34" i="28"/>
  <c r="C20" i="28"/>
  <c r="C28" i="28"/>
  <c r="C25" i="28"/>
  <c r="C17" i="28"/>
  <c r="C32" i="28"/>
  <c r="C24" i="28"/>
  <c r="C33" i="28"/>
  <c r="C29" i="28"/>
  <c r="C21" i="28"/>
  <c r="AP78" i="38"/>
  <c r="C16" i="28"/>
  <c r="AN81" i="38" l="1"/>
  <c r="AM32" i="38"/>
  <c r="AL78" i="38"/>
  <c r="G20" i="28"/>
  <c r="BJ20" i="28" s="1"/>
  <c r="H20" i="28"/>
  <c r="BK20" i="28" s="1"/>
  <c r="BE20" i="28"/>
  <c r="H28" i="28"/>
  <c r="BK28" i="28" s="1"/>
  <c r="G28" i="28"/>
  <c r="BJ28" i="28" s="1"/>
  <c r="BE28" i="28"/>
  <c r="G25" i="28"/>
  <c r="BJ25" i="28" s="1"/>
  <c r="H25" i="28"/>
  <c r="BK25" i="28" s="1"/>
  <c r="BE25" i="28"/>
  <c r="G17" i="28"/>
  <c r="BE17" i="28"/>
  <c r="H17" i="28"/>
  <c r="BK17" i="28" s="1"/>
  <c r="H32" i="28"/>
  <c r="BK32" i="28" s="1"/>
  <c r="G32" i="28"/>
  <c r="BJ32" i="28" s="1"/>
  <c r="BE32" i="28"/>
  <c r="BE24" i="28"/>
  <c r="H24" i="28"/>
  <c r="BK24" i="28" s="1"/>
  <c r="G24" i="28"/>
  <c r="BJ24" i="28" s="1"/>
  <c r="G33" i="28"/>
  <c r="BJ33" i="28" s="1"/>
  <c r="BE33" i="28"/>
  <c r="H33" i="28"/>
  <c r="BK33" i="28" s="1"/>
  <c r="BE29" i="28"/>
  <c r="H29" i="28"/>
  <c r="BK29" i="28" s="1"/>
  <c r="G29" i="28"/>
  <c r="BJ29" i="28" s="1"/>
  <c r="BE21" i="28"/>
  <c r="G21" i="28"/>
  <c r="BJ21" i="28" s="1"/>
  <c r="H21" i="28"/>
  <c r="BK21" i="28" s="1"/>
  <c r="H16" i="28"/>
  <c r="BK16" i="28" s="1"/>
  <c r="G16" i="28"/>
  <c r="BE16" i="28"/>
  <c r="I11" i="34" l="1"/>
  <c r="I10" i="34" s="1"/>
  <c r="C45" i="28"/>
  <c r="BE45" i="28" s="1"/>
  <c r="B8" i="34"/>
  <c r="E7" i="34" s="1"/>
  <c r="BJ17" i="28"/>
  <c r="G49" i="28"/>
  <c r="BJ49" i="28" s="1"/>
  <c r="BJ16" i="28"/>
  <c r="G47" i="28"/>
  <c r="BJ47" i="28" s="1"/>
  <c r="G45" i="28"/>
  <c r="BJ45" i="28" s="1"/>
  <c r="G48" i="28"/>
  <c r="BJ48" i="28" s="1"/>
  <c r="AL71" i="38" l="1"/>
  <c r="AH71" i="38"/>
  <c r="AC67" i="38"/>
  <c r="AI74" i="38"/>
  <c r="AC73" i="38"/>
  <c r="AC74" i="38"/>
  <c r="AL72" i="38"/>
  <c r="AG72" i="38"/>
  <c r="AD72" i="38"/>
  <c r="AH68" i="38"/>
  <c r="AK74" i="38"/>
  <c r="AH67" i="38"/>
  <c r="AC72" i="38"/>
  <c r="AC70" i="38"/>
  <c r="AJ72" i="38"/>
  <c r="AH69" i="38"/>
  <c r="AL75" i="38"/>
  <c r="AG73" i="38"/>
  <c r="AH74" i="38"/>
  <c r="AF69" i="38"/>
  <c r="AM72" i="38"/>
  <c r="AN69" i="38" s="1"/>
  <c r="AE74" i="38"/>
  <c r="AL74" i="38"/>
  <c r="AC69" i="38"/>
  <c r="AL61" i="38"/>
  <c r="AL65" i="38"/>
  <c r="AC61" i="38"/>
  <c r="AG61" i="38"/>
  <c r="AK63" i="38"/>
  <c r="AI63" i="38"/>
  <c r="AC62" i="38"/>
  <c r="AH56" i="38"/>
  <c r="AF58" i="38"/>
  <c r="AC58" i="38"/>
  <c r="AL60" i="38"/>
  <c r="AM61" i="38"/>
  <c r="AN58" i="38" s="1"/>
  <c r="AJ61" i="38"/>
  <c r="AH60" i="38"/>
  <c r="AG62" i="38"/>
  <c r="AH58" i="38"/>
  <c r="AE63" i="38"/>
  <c r="AC56" i="38"/>
  <c r="AL63" i="38"/>
  <c r="AH57" i="38"/>
  <c r="AC59" i="38"/>
  <c r="AL64" i="38"/>
  <c r="AC63" i="38"/>
  <c r="AH63" i="38"/>
  <c r="AM39" i="38"/>
  <c r="AN36" i="38" s="1"/>
  <c r="AG39" i="38"/>
  <c r="AH35" i="38"/>
  <c r="AH34" i="38"/>
  <c r="AJ39" i="38"/>
  <c r="AL38" i="38"/>
  <c r="AH36" i="38"/>
  <c r="AH38" i="38"/>
  <c r="AE41" i="38"/>
  <c r="AH41" i="38"/>
  <c r="AC41" i="38"/>
  <c r="AC39" i="38"/>
  <c r="AL43" i="38"/>
  <c r="AC43" i="38"/>
  <c r="AG40" i="38"/>
  <c r="AC34" i="38"/>
  <c r="AI41" i="38"/>
  <c r="AC40" i="38"/>
  <c r="AF36" i="38"/>
  <c r="AC38" i="38"/>
  <c r="AE38" i="38" s="1"/>
  <c r="AC37" i="38"/>
  <c r="AC36" i="38"/>
  <c r="AE52" i="38"/>
  <c r="AL54" i="38"/>
  <c r="AL49" i="38"/>
  <c r="AH49" i="38"/>
  <c r="AC47" i="38"/>
  <c r="AL52" i="38"/>
  <c r="AC45" i="38"/>
  <c r="AD50" i="38"/>
  <c r="AF47" i="38"/>
  <c r="AC52" i="38"/>
  <c r="AJ50" i="38"/>
  <c r="AI52" i="38"/>
  <c r="AH52" i="38"/>
  <c r="AC51" i="38"/>
  <c r="AL50" i="38"/>
  <c r="AG51" i="38"/>
  <c r="AH46" i="38"/>
  <c r="AM50" i="38"/>
  <c r="AN46" i="38" s="1"/>
  <c r="AH47" i="38"/>
  <c r="AH45" i="38"/>
  <c r="AC48" i="38"/>
  <c r="AG50" i="38"/>
  <c r="AK52" i="38"/>
  <c r="AC50" i="38"/>
  <c r="AC29" i="38"/>
  <c r="AE26" i="38"/>
  <c r="AE30" i="38"/>
  <c r="AF25" i="38"/>
  <c r="AC27" i="38"/>
  <c r="AE27" i="38" s="1"/>
  <c r="AH30" i="38"/>
  <c r="AE14" i="38"/>
  <c r="C10" i="28" s="1"/>
  <c r="BF10" i="28" s="1"/>
  <c r="AH6" i="38"/>
  <c r="AF6" i="38"/>
  <c r="C7" i="28" s="1"/>
  <c r="AC17" i="38"/>
  <c r="AC20" i="38"/>
  <c r="AI18" i="38"/>
  <c r="AG15" i="38"/>
  <c r="E12" i="28" s="1"/>
  <c r="BH12" i="28" s="1"/>
  <c r="AH7" i="38"/>
  <c r="AI19" i="38"/>
  <c r="AC24" i="38"/>
  <c r="AE24" i="38" s="1"/>
  <c r="AI12" i="38"/>
  <c r="AC21" i="38"/>
  <c r="AK18" i="38"/>
  <c r="AH25" i="38"/>
  <c r="AH24" i="38"/>
  <c r="AC28" i="38"/>
  <c r="AC32" i="38"/>
  <c r="AE7" i="38"/>
  <c r="AC7" i="38"/>
  <c r="AG10" i="38"/>
  <c r="AI13" i="38"/>
  <c r="AE6" i="38"/>
  <c r="B7" i="28" s="1"/>
  <c r="AL21" i="38"/>
  <c r="AC11" i="38"/>
  <c r="A8" i="28" s="1"/>
  <c r="BD8" i="28" s="1"/>
  <c r="AC30" i="38"/>
  <c r="AG29" i="38"/>
  <c r="AI30" i="38"/>
  <c r="AJ14" i="38"/>
  <c r="G11" i="28" s="1"/>
  <c r="BJ11" i="28" s="1"/>
  <c r="AF87" i="38"/>
  <c r="AC10" i="38"/>
  <c r="AC14" i="38"/>
  <c r="B10" i="28" s="1"/>
  <c r="BD10" i="28" s="1"/>
  <c r="AC13" i="38"/>
  <c r="AI15" i="38"/>
  <c r="F12" i="28" s="1"/>
  <c r="BI12" i="28" s="1"/>
  <c r="AH79" i="38"/>
  <c r="AC85" i="38"/>
  <c r="AE25" i="38"/>
  <c r="AJ28" i="38"/>
  <c r="AH23" i="38"/>
  <c r="AL32" i="38"/>
  <c r="AC25" i="38"/>
  <c r="AC23" i="38"/>
  <c r="AD28" i="38"/>
  <c r="AH17" i="38"/>
  <c r="AH14" i="38"/>
  <c r="C11" i="28" s="1"/>
  <c r="BF11" i="28" s="1"/>
  <c r="AC12" i="38"/>
  <c r="B9" i="28" s="1"/>
  <c r="BD9" i="28" s="1"/>
  <c r="AG12" i="38"/>
  <c r="AG87" i="38"/>
  <c r="AC15" i="38"/>
  <c r="B12" i="28" s="1"/>
  <c r="BD12" i="28" s="1"/>
  <c r="AF15" i="38"/>
  <c r="D12" i="28" s="1"/>
  <c r="BG12" i="28" s="1"/>
  <c r="AG14" i="38"/>
  <c r="B11" i="28" s="1"/>
  <c r="BD11" i="28" s="1"/>
  <c r="AG13" i="38"/>
  <c r="AH80" i="38"/>
  <c r="AC19" i="38"/>
  <c r="AD4" i="38"/>
  <c r="AE12" i="38"/>
  <c r="C9" i="28" s="1"/>
  <c r="BF9" i="28" s="1"/>
  <c r="AG28" i="38"/>
  <c r="AI28" i="38"/>
  <c r="AE13" i="38"/>
  <c r="AC80" i="38"/>
  <c r="AJ11" i="38"/>
  <c r="G8" i="28" s="1"/>
  <c r="BJ8" i="28" s="1"/>
  <c r="AE80" i="38"/>
  <c r="AC81" i="38" s="1"/>
  <c r="AC96" i="38"/>
  <c r="AC99" i="38" s="1"/>
  <c r="AK14" i="38"/>
  <c r="H11" i="28" s="1"/>
  <c r="BK11" i="28" s="1"/>
  <c r="AC18" i="38"/>
  <c r="AK11" i="38"/>
  <c r="AL27" i="38"/>
  <c r="AK25" i="38"/>
  <c r="AC26" i="38"/>
  <c r="AG6" i="38"/>
  <c r="AF11" i="38"/>
  <c r="AE10" i="38"/>
  <c r="AC16" i="38"/>
  <c r="AG21" i="38"/>
  <c r="AC8" i="38"/>
  <c r="AN79" i="38" l="1"/>
  <c r="AL79" i="38" s="1"/>
  <c r="B38" i="28"/>
  <c r="D38" i="28"/>
  <c r="D36" i="28"/>
  <c r="B36" i="28"/>
  <c r="E43" i="28"/>
  <c r="B43" i="28"/>
  <c r="C5" i="28"/>
  <c r="BF5" i="28" s="1"/>
  <c r="C2" i="28"/>
  <c r="BF2" i="28" s="1"/>
  <c r="AL81" i="38"/>
  <c r="B48" i="28"/>
  <c r="BD48" i="28" s="1"/>
  <c r="D37" i="28"/>
  <c r="B37" i="28"/>
  <c r="AF9" i="38"/>
  <c r="E12" i="34" s="1"/>
  <c r="AC84" i="38"/>
  <c r="AC78" i="38"/>
  <c r="AG83" i="38"/>
  <c r="C8" i="28"/>
  <c r="BF8" i="28" s="1"/>
  <c r="AN80" i="38" l="1"/>
  <c r="J3" i="34" s="1"/>
  <c r="AL80" i="38"/>
  <c r="BD37" i="28"/>
  <c r="BG37" i="28"/>
  <c r="BG36" i="28"/>
  <c r="BD36" i="28"/>
  <c r="BG38" i="28"/>
  <c r="BD38" i="28"/>
  <c r="J4" i="34" l="1"/>
  <c r="AO80"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Rafaela</author>
  </authors>
  <commentList>
    <comment ref="C24" authorId="0" shapeId="0" xr:uid="{601998C1-9D01-47D5-BA20-9F4C1A229A2B}">
      <text>
        <r>
          <rPr>
            <sz val="9"/>
            <color indexed="81"/>
            <rFont val="Tahoma"/>
            <family val="2"/>
          </rPr>
          <t xml:space="preserve"> Escriba los 10 dígitos seguido, sin espacio ni puntos. Ej.:
</t>
        </r>
        <r>
          <rPr>
            <sz val="10"/>
            <color indexed="10"/>
            <rFont val="Tahoma"/>
            <family val="2"/>
          </rPr>
          <t>xxxxxxxxxx</t>
        </r>
        <r>
          <rPr>
            <sz val="9"/>
            <color indexed="81"/>
            <rFont val="Tahoma"/>
            <family val="2"/>
          </rPr>
          <t xml:space="preserve">
</t>
        </r>
      </text>
    </comment>
    <comment ref="H24" authorId="0" shapeId="0" xr:uid="{00000000-0006-0000-0200-000001000000}">
      <text>
        <r>
          <rPr>
            <b/>
            <sz val="9"/>
            <color rgb="FF000000"/>
            <rFont val="Tahoma"/>
            <family val="2"/>
          </rPr>
          <t xml:space="preserve">
</t>
        </r>
        <r>
          <rPr>
            <b/>
            <sz val="9"/>
            <color rgb="FF000000"/>
            <rFont val="Tahoma"/>
            <family val="2"/>
          </rPr>
          <t xml:space="preserve">* En la celda "Tipo de proyecto", seleccione desde el menú desplegable la convocatoria que corresponda a su proyecto.
</t>
        </r>
        <r>
          <rPr>
            <b/>
            <sz val="9"/>
            <color rgb="FF000000"/>
            <rFont val="Tahoma"/>
            <family val="2"/>
          </rPr>
          <t xml:space="preserve">Si el proyecto está financiado por el Ministerio, pero no aparece entre los tipos disponibles, seleccione 'Ministerio' como opción. 
</t>
        </r>
        <r>
          <rPr>
            <b/>
            <sz val="9"/>
            <color rgb="FF000000"/>
            <rFont val="Tahoma"/>
            <family val="2"/>
          </rPr>
          <t xml:space="preserve">
</t>
        </r>
        <r>
          <rPr>
            <b/>
            <sz val="9"/>
            <color rgb="FF000000"/>
            <rFont val="Tahoma"/>
            <family val="2"/>
          </rPr>
          <t xml:space="preserve">* Para los proyectos PPI-FEDER, seleccione Normativa US.
</t>
        </r>
        <r>
          <rPr>
            <b/>
            <sz val="9"/>
            <color rgb="FF000000"/>
            <rFont val="Tahoma"/>
            <family val="2"/>
          </rPr>
          <t xml:space="preserve">* Para los proyectos EUROPEOS elija las normativas de la US.
</t>
        </r>
        <r>
          <rPr>
            <b/>
            <sz val="9"/>
            <color rgb="FF000000"/>
            <rFont val="Tahoma"/>
            <family val="2"/>
          </rPr>
          <t xml:space="preserve">
</t>
        </r>
        <r>
          <rPr>
            <b/>
            <sz val="9"/>
            <color rgb="FF000000"/>
            <rFont val="Tahoma"/>
            <family val="2"/>
          </rPr>
          <t xml:space="preserve">
</t>
        </r>
        <r>
          <rPr>
            <b/>
            <sz val="9"/>
            <color rgb="FF000000"/>
            <rFont val="Tahoma"/>
            <family val="2"/>
          </rPr>
          <t xml:space="preserve">
</t>
        </r>
        <r>
          <rPr>
            <sz val="9"/>
            <color rgb="FF000000"/>
            <rFont val="Tahoma"/>
            <family val="2"/>
          </rPr>
          <t xml:space="preserve">
</t>
        </r>
      </text>
    </comment>
    <comment ref="C30" authorId="0" shapeId="0" xr:uid="{00000000-0006-0000-0200-000002000000}">
      <text>
        <r>
          <rPr>
            <sz val="9"/>
            <color rgb="FF000000"/>
            <rFont val="Tahoma"/>
            <family val="2"/>
          </rPr>
          <t xml:space="preserve">
</t>
        </r>
        <r>
          <rPr>
            <b/>
            <sz val="9"/>
            <color rgb="FF800000"/>
            <rFont val="Tahoma"/>
            <family val="2"/>
          </rPr>
          <t>En caso de varias actividades, indique la fecha de la primera actividad.</t>
        </r>
        <r>
          <rPr>
            <sz val="9"/>
            <color rgb="FF000000"/>
            <rFont val="Tahoma"/>
            <family val="2"/>
          </rPr>
          <t xml:space="preserve">
</t>
        </r>
        <r>
          <rPr>
            <b/>
            <sz val="9"/>
            <color rgb="FF000000"/>
            <rFont val="Tahoma"/>
            <family val="2"/>
          </rPr>
          <t xml:space="preserve">La fecha de inicio de esta actividad marcará si se rige por la normativa US 3/3021 o 3/2025
</t>
        </r>
      </text>
    </comment>
    <comment ref="F30" authorId="0" shapeId="0" xr:uid="{00000000-0006-0000-0200-000003000000}">
      <text>
        <r>
          <rPr>
            <b/>
            <sz val="9"/>
            <color rgb="FF800000"/>
            <rFont val="Tahoma"/>
            <family val="2"/>
          </rPr>
          <t xml:space="preserve">
</t>
        </r>
        <r>
          <rPr>
            <b/>
            <sz val="9"/>
            <color rgb="FF800000"/>
            <rFont val="Tahoma"/>
            <family val="2"/>
          </rPr>
          <t>En caso de varias actividades, indique la fecha de la última actividad</t>
        </r>
      </text>
    </comment>
    <comment ref="C49" authorId="0" shapeId="0" xr:uid="{00000000-0006-0000-0200-000004000000}">
      <text>
        <r>
          <rPr>
            <sz val="9"/>
            <color indexed="81"/>
            <rFont val="Tahoma"/>
            <family val="2"/>
          </rPr>
          <t xml:space="preserve"> Tasas de alojamiento
</t>
        </r>
      </text>
    </comment>
    <comment ref="H57" authorId="0" shapeId="0" xr:uid="{00000000-0006-0000-0200-000005000000}">
      <text>
        <r>
          <rPr>
            <sz val="9"/>
            <color indexed="81"/>
            <rFont val="Tahoma"/>
            <family val="2"/>
          </rPr>
          <t xml:space="preserve">
</t>
        </r>
        <r>
          <rPr>
            <b/>
            <sz val="9"/>
            <color indexed="81"/>
            <rFont val="Tahoma"/>
            <family val="2"/>
          </rPr>
          <t xml:space="preserve">¿Renuncia a toda la manutención del territorio nacional?
</t>
        </r>
      </text>
    </comment>
    <comment ref="C64" authorId="0" shapeId="0" xr:uid="{00000000-0006-0000-0200-000006000000}">
      <text>
        <r>
          <rPr>
            <b/>
            <sz val="9"/>
            <color indexed="81"/>
            <rFont val="Tahoma"/>
            <family val="2"/>
          </rPr>
          <t>Escriba solo el importe del alojamiento; las tasas van en ‘Otros gastos’, celda C49</t>
        </r>
      </text>
    </comment>
    <comment ref="E64" authorId="0" shapeId="0" xr:uid="{00000000-0006-0000-0200-000007000000}">
      <text>
        <r>
          <rPr>
            <b/>
            <sz val="9"/>
            <color indexed="81"/>
            <rFont val="Tahoma"/>
            <family val="2"/>
          </rPr>
          <t xml:space="preserve">
Dejar la celda vacía si no hay importe de alojamiento.</t>
        </r>
      </text>
    </comment>
    <comment ref="G64" authorId="0" shapeId="0" xr:uid="{00000000-0006-0000-0200-000008000000}">
      <text>
        <r>
          <rPr>
            <sz val="9"/>
            <color indexed="81"/>
            <rFont val="Tahoma"/>
            <family val="2"/>
          </rPr>
          <t xml:space="preserve"> 
 Dejar la celda vacía si no hay importe. Para escribir un nº decimal, utilice el punto del teclado numérico.
</t>
        </r>
      </text>
    </comment>
    <comment ref="I64" authorId="0" shapeId="0" xr:uid="{00000000-0006-0000-0200-000009000000}">
      <text>
        <r>
          <rPr>
            <sz val="9"/>
            <color indexed="81"/>
            <rFont val="Tahoma"/>
            <family val="2"/>
          </rPr>
          <t xml:space="preserve">Dejar la celda vacía si no hay importe de alojamiento.
</t>
        </r>
      </text>
    </comment>
    <comment ref="C78" authorId="0" shapeId="0" xr:uid="{00000000-0006-0000-0200-00000A000000}">
      <text>
        <r>
          <rPr>
            <b/>
            <sz val="9"/>
            <color rgb="FF000000"/>
            <rFont val="Tahoma"/>
            <family val="2"/>
          </rPr>
          <t>Escriba solo el importe del alojamiento; las tasas van en ‘Otros gastos’, celda C49</t>
        </r>
        <r>
          <rPr>
            <sz val="9"/>
            <color rgb="FF000000"/>
            <rFont val="Tahoma"/>
            <family val="2"/>
          </rPr>
          <t xml:space="preserve">
</t>
        </r>
      </text>
    </comment>
    <comment ref="F78" authorId="0" shapeId="0" xr:uid="{00000000-0006-0000-0200-00000B000000}">
      <text>
        <r>
          <rPr>
            <b/>
            <sz val="9"/>
            <color indexed="81"/>
            <rFont val="Tahoma"/>
            <family val="2"/>
          </rPr>
          <t xml:space="preserve"> Dejar la celda vacía si no hay importe.</t>
        </r>
      </text>
    </comment>
    <comment ref="G78" authorId="0" shapeId="0" xr:uid="{00000000-0006-0000-0200-00000C000000}">
      <text>
        <r>
          <rPr>
            <b/>
            <sz val="9"/>
            <color indexed="81"/>
            <rFont val="Tahoma"/>
            <family val="2"/>
          </rPr>
          <t xml:space="preserve"> Dejar la celda vacía si no hay importe. Para escribir un nº decimal, utilice el punto del teclado numérico.</t>
        </r>
        <r>
          <rPr>
            <sz val="9"/>
            <color indexed="81"/>
            <rFont val="Tahoma"/>
            <family val="2"/>
          </rPr>
          <t xml:space="preserve">
</t>
        </r>
      </text>
    </comment>
    <comment ref="I78" authorId="0" shapeId="0" xr:uid="{00000000-0006-0000-0200-00000D000000}">
      <text>
        <r>
          <rPr>
            <b/>
            <sz val="9"/>
            <color indexed="81"/>
            <rFont val="Tahoma"/>
            <family val="2"/>
          </rPr>
          <t xml:space="preserve"> 
Dejar la celda vacía si no hay importe. </t>
        </r>
        <r>
          <rPr>
            <sz val="9"/>
            <color indexed="81"/>
            <rFont val="Tahoma"/>
            <family val="2"/>
          </rPr>
          <t xml:space="preserve">
</t>
        </r>
      </text>
    </comment>
    <comment ref="C123" authorId="0" shapeId="0" xr:uid="{00000000-0006-0000-0200-00000E000000}">
      <text>
        <r>
          <rPr>
            <b/>
            <sz val="9"/>
            <color indexed="81"/>
            <rFont val="Tahoma"/>
            <family val="2"/>
          </rPr>
          <t>Escriba solo el importe del alojamiento; las tasas van en ‘Otros gastos’, celda C49</t>
        </r>
        <r>
          <rPr>
            <sz val="9"/>
            <color indexed="81"/>
            <rFont val="Tahoma"/>
            <family val="2"/>
          </rPr>
          <t xml:space="preserve">
</t>
        </r>
      </text>
    </comment>
    <comment ref="E123" authorId="0" shapeId="0" xr:uid="{00000000-0006-0000-0200-00000F000000}">
      <text>
        <r>
          <rPr>
            <b/>
            <sz val="9"/>
            <color indexed="81"/>
            <rFont val="Tahoma"/>
            <family val="2"/>
          </rPr>
          <t xml:space="preserve"> Dejar la celda vacía si no hay importe. </t>
        </r>
        <r>
          <rPr>
            <sz val="9"/>
            <color indexed="81"/>
            <rFont val="Tahoma"/>
            <family val="2"/>
          </rPr>
          <t xml:space="preserve">
</t>
        </r>
      </text>
    </comment>
    <comment ref="G123" authorId="0" shapeId="0" xr:uid="{00000000-0006-0000-0200-000010000000}">
      <text>
        <r>
          <rPr>
            <b/>
            <sz val="9"/>
            <color indexed="81"/>
            <rFont val="Tahoma"/>
            <family val="2"/>
          </rPr>
          <t xml:space="preserve"> Dejar la celda vacía si no hay importe. Para escribir un nº decimal, utilice el punto del teclado numérico.</t>
        </r>
        <r>
          <rPr>
            <sz val="9"/>
            <color indexed="81"/>
            <rFont val="Tahoma"/>
            <family val="2"/>
          </rPr>
          <t xml:space="preserve">
</t>
        </r>
      </text>
    </comment>
    <comment ref="I123" authorId="0" shapeId="0" xr:uid="{00000000-0006-0000-0200-000011000000}">
      <text>
        <r>
          <rPr>
            <b/>
            <sz val="9"/>
            <color indexed="81"/>
            <rFont val="Tahoma"/>
            <family val="2"/>
          </rPr>
          <t xml:space="preserve"> Dejar la celda vacía si no hay importe. </t>
        </r>
        <r>
          <rPr>
            <sz val="9"/>
            <color indexed="81"/>
            <rFont val="Tahoma"/>
            <family val="2"/>
          </rPr>
          <t xml:space="preserve">
</t>
        </r>
      </text>
    </comment>
    <comment ref="C156" authorId="0" shapeId="0" xr:uid="{00000000-0006-0000-0200-000012000000}">
      <text>
        <r>
          <rPr>
            <b/>
            <sz val="9"/>
            <color indexed="81"/>
            <rFont val="Tahoma"/>
            <family val="2"/>
          </rPr>
          <t>Escriba solo el importe del alojamiento; las tasas van en ‘Otros gastos’, celda C49</t>
        </r>
      </text>
    </comment>
    <comment ref="F156" authorId="0" shapeId="0" xr:uid="{00000000-0006-0000-0200-000013000000}">
      <text>
        <r>
          <rPr>
            <b/>
            <sz val="9"/>
            <color indexed="81"/>
            <rFont val="Tahoma"/>
            <family val="2"/>
          </rPr>
          <t xml:space="preserve"> Dejar la celda vacía si no hay importe. </t>
        </r>
        <r>
          <rPr>
            <sz val="9"/>
            <color indexed="81"/>
            <rFont val="Tahoma"/>
            <family val="2"/>
          </rPr>
          <t xml:space="preserve">
</t>
        </r>
      </text>
    </comment>
    <comment ref="G156" authorId="0" shapeId="0" xr:uid="{00000000-0006-0000-0200-000014000000}">
      <text>
        <r>
          <rPr>
            <b/>
            <sz val="9"/>
            <color indexed="81"/>
            <rFont val="Tahoma"/>
            <family val="2"/>
          </rPr>
          <t xml:space="preserve"> Dejar la celda vacía si no hay importe. Para escribir un nº decimal, utilice el punto del teclado numérico.</t>
        </r>
        <r>
          <rPr>
            <sz val="9"/>
            <color indexed="81"/>
            <rFont val="Tahoma"/>
            <family val="2"/>
          </rPr>
          <t xml:space="preserve">
</t>
        </r>
      </text>
    </comment>
    <comment ref="I156" authorId="0" shapeId="0" xr:uid="{00000000-0006-0000-0200-000015000000}">
      <text>
        <r>
          <rPr>
            <b/>
            <sz val="9"/>
            <color indexed="81"/>
            <rFont val="Tahoma"/>
            <family val="2"/>
          </rPr>
          <t xml:space="preserve"> Dejar la celda vacía si no hay importe. </t>
        </r>
        <r>
          <rPr>
            <sz val="9"/>
            <color indexed="81"/>
            <rFont val="Tahoma"/>
            <family val="2"/>
          </rPr>
          <t xml:space="preserve">
</t>
        </r>
      </text>
    </comment>
    <comment ref="C173" authorId="0" shapeId="0" xr:uid="{00000000-0006-0000-0200-000016000000}">
      <text>
        <r>
          <rPr>
            <b/>
            <sz val="9"/>
            <color indexed="81"/>
            <rFont val="Tahoma"/>
            <family val="2"/>
          </rPr>
          <t>Escriba solo el importe del alojamiento; las tasas van en ‘Otros gastos’, celda C49</t>
        </r>
        <r>
          <rPr>
            <sz val="9"/>
            <color indexed="81"/>
            <rFont val="Tahoma"/>
            <family val="2"/>
          </rPr>
          <t xml:space="preserve">
</t>
        </r>
      </text>
    </comment>
    <comment ref="F173" authorId="0" shapeId="0" xr:uid="{00000000-0006-0000-0200-000017000000}">
      <text>
        <r>
          <rPr>
            <b/>
            <sz val="9"/>
            <color indexed="81"/>
            <rFont val="Tahoma"/>
            <family val="2"/>
          </rPr>
          <t xml:space="preserve"> Dejar la celda vacía si no hay importe. </t>
        </r>
        <r>
          <rPr>
            <sz val="9"/>
            <color indexed="81"/>
            <rFont val="Tahoma"/>
            <family val="2"/>
          </rPr>
          <t xml:space="preserve">
</t>
        </r>
      </text>
    </comment>
    <comment ref="G173" authorId="0" shapeId="0" xr:uid="{00000000-0006-0000-0200-000018000000}">
      <text>
        <r>
          <rPr>
            <b/>
            <sz val="9"/>
            <color indexed="81"/>
            <rFont val="Tahoma"/>
            <family val="2"/>
          </rPr>
          <t xml:space="preserve"> Dejar la celda vacía si no hay importe. Para escribir un nº decimal, utilice el punto del teclado numérico.</t>
        </r>
        <r>
          <rPr>
            <sz val="9"/>
            <color indexed="81"/>
            <rFont val="Tahoma"/>
            <family val="2"/>
          </rPr>
          <t xml:space="preserve">
</t>
        </r>
      </text>
    </comment>
    <comment ref="I173" authorId="0" shapeId="0" xr:uid="{00000000-0006-0000-0200-000019000000}">
      <text>
        <r>
          <rPr>
            <b/>
            <sz val="9"/>
            <color indexed="81"/>
            <rFont val="Tahoma"/>
            <family val="2"/>
          </rPr>
          <t xml:space="preserve"> Dejar la celda vacía si no hay importe.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Rafaela</author>
    <author>Rafaela Moron</author>
  </authors>
  <commentList>
    <comment ref="D13" authorId="0" shapeId="0" xr:uid="{00000000-0006-0000-0800-000001000000}">
      <text>
        <r>
          <rPr>
            <b/>
            <sz val="9"/>
            <color indexed="81"/>
            <rFont val="Tahoma"/>
            <family val="2"/>
          </rPr>
          <t>Rafaela:</t>
        </r>
        <r>
          <rPr>
            <sz val="9"/>
            <color indexed="81"/>
            <rFont val="Tahoma"/>
            <family val="2"/>
          </rPr>
          <t xml:space="preserve">
Fecha del congreso, Workshops, curso trabajo de campo, reunión, etc</t>
        </r>
      </text>
    </comment>
    <comment ref="G21" authorId="0" shapeId="0" xr:uid="{00000000-0006-0000-0800-000002000000}">
      <text>
        <r>
          <rPr>
            <b/>
            <sz val="9"/>
            <color indexed="10"/>
            <rFont val="Tahoma"/>
            <family val="2"/>
          </rPr>
          <t>factura abonada por el investigador</t>
        </r>
        <r>
          <rPr>
            <b/>
            <sz val="9"/>
            <color indexed="81"/>
            <rFont val="Tahoma"/>
            <family val="2"/>
          </rPr>
          <t xml:space="preserve">
Las facturas de: alojamiento, locomoción, inscripción a congreso, curso, workshops, etc. Abonadas por el profesor, deben consignar su DNI y nombre, nunca  el CIF de la US.
</t>
        </r>
      </text>
    </comment>
    <comment ref="G22" authorId="0" shapeId="0" xr:uid="{00000000-0006-0000-0800-000003000000}">
      <text>
        <r>
          <rPr>
            <b/>
            <sz val="9"/>
            <color indexed="81"/>
            <rFont val="Tahoma"/>
            <family val="2"/>
          </rPr>
          <t>Pago a la Agencia de Viaje</t>
        </r>
        <r>
          <rPr>
            <sz val="9"/>
            <color indexed="81"/>
            <rFont val="Tahoma"/>
            <family val="2"/>
          </rPr>
          <t xml:space="preserve">
Las facturas de pagos a terceros (cuando la US. abona a la agencia de viajes) deben cumplir los siguientes requisitos:
1) Preferentemente deben ser de Halcón Viajes, en caso excepcionales si son de otra agencia deben gestionarse con contrato menor o en su caso acuerdo marco.
2) Las facturas deben consignar el CIF de la US.
3) No pueden incluir gastos no imputables en los proyectos como: cena de gala, excursiones etc.
4) Deben venir desglosados los importes por conceptos (alojamiento locomoción, etc.)
</t>
        </r>
      </text>
    </comment>
    <comment ref="G35" authorId="0" shapeId="0" xr:uid="{00000000-0006-0000-0800-000004000000}">
      <text>
        <r>
          <rPr>
            <b/>
            <sz val="9"/>
            <color indexed="10"/>
            <rFont val="Tahoma"/>
            <family val="2"/>
          </rPr>
          <t>factura abonada por el investigador</t>
        </r>
        <r>
          <rPr>
            <b/>
            <sz val="9"/>
            <color indexed="81"/>
            <rFont val="Tahoma"/>
            <family val="2"/>
          </rPr>
          <t xml:space="preserve">
Las facturas de: alojamiento, locomoción, inscripción a congreso, curso, workshops, etc. Abonadas por el profesor, deben consignar su DNI y nombre, nunca  el CIF de la US.</t>
        </r>
      </text>
    </comment>
    <comment ref="G36" authorId="0" shapeId="0" xr:uid="{00000000-0006-0000-0800-000005000000}">
      <text>
        <r>
          <rPr>
            <b/>
            <sz val="9"/>
            <color indexed="81"/>
            <rFont val="Tahoma"/>
            <family val="2"/>
          </rPr>
          <t>Pago a la Agencia de Viaje
Las facturas de pagos a terceros (cuando la US. abona a la agencia de viajes) deben cumplir los siguientes requisitos:
1) Preferentemente deben ser de Halcón Viajes, en caso excepcionales si son de otra agencia deben gestionarse con contrato menor o en su caso acuerdo marco.
2) Las facturas deben consignar el CIF de la US.
3) No pueden incluir gastos no imputables en los proyectos como: cena de gala, excursiones etc.
4) Deben venir desglosados los importes por conceptos (alojamiento locomoción, etc.)</t>
        </r>
      </text>
    </comment>
    <comment ref="C39" authorId="0" shapeId="0" xr:uid="{00000000-0006-0000-0800-000006000000}">
      <text>
        <r>
          <rPr>
            <b/>
            <sz val="9"/>
            <color indexed="81"/>
            <rFont val="Tahoma"/>
            <family val="2"/>
          </rPr>
          <t xml:space="preserve">• Para trabajadores que no tengan vinculación contractual con la administración pública española.
• El importe máximo a pagar será el que corresponda según el decreto de dietas.
• La documentación a aportar debe ser facturas simplificadas originales de comidas sin superar el decreto de dietas por día.
.
</t>
        </r>
      </text>
    </comment>
    <comment ref="G46" authorId="0" shapeId="0" xr:uid="{00000000-0006-0000-0800-000007000000}">
      <text>
        <r>
          <rPr>
            <b/>
            <sz val="9"/>
            <color indexed="10"/>
            <rFont val="Tahoma"/>
            <family val="2"/>
          </rPr>
          <t>factura abonada por el investigador</t>
        </r>
        <r>
          <rPr>
            <b/>
            <sz val="9"/>
            <color indexed="81"/>
            <rFont val="Tahoma"/>
            <family val="2"/>
          </rPr>
          <t xml:space="preserve">
Las facturas de: alojamiento, locomoción, inscripción a congreso, curso, workshops, etc. Abonadas por el profesor, deben consignar su DNI y nombre, nunca  el CIF de la US.</t>
        </r>
      </text>
    </comment>
    <comment ref="G47" authorId="0" shapeId="0" xr:uid="{00000000-0006-0000-0800-000008000000}">
      <text>
        <r>
          <rPr>
            <b/>
            <sz val="9"/>
            <color indexed="81"/>
            <rFont val="Tahoma"/>
            <family val="2"/>
          </rPr>
          <t>Pago a la Agencia de Viaje
Las facturas de pagos a terceros (cuando la US. abona a la agencia de viajes) deben cumplir los siguientes requisitos:
1) Preferentemente deben ser de Halcón Viajes, en caso excepcionales si son de otra agencia deben gestionarse con contrato menor o en su caso acuerdo marco.
2) Las facturas deben consignar el CIF de la US.
3) No pueden incluir gastos no imputables en los proyectos como: cena de gala, excursiones etc.
4) Deben venir desglosados los importes por conceptos (alojamiento locomoción, etc.)</t>
        </r>
      </text>
    </comment>
    <comment ref="C50" authorId="0" shapeId="0" xr:uid="{00000000-0006-0000-0800-000009000000}">
      <text>
        <r>
          <rPr>
            <b/>
            <sz val="9"/>
            <color indexed="81"/>
            <rFont val="Tahoma"/>
            <family val="2"/>
          </rPr>
          <t xml:space="preserve">• Para trabajadores que no tengan vinculación contractual con la administración pública española.
• El importe máximo a pagar será el que corresponda según el decreto de dietas.
• La documentación a aportar debe ser facturas simplificadas originales de comidas sin superar el decreto de dietas por día.
.
</t>
        </r>
      </text>
    </comment>
    <comment ref="G57" authorId="0" shapeId="0" xr:uid="{00000000-0006-0000-0800-00000A000000}">
      <text>
        <r>
          <rPr>
            <b/>
            <sz val="9"/>
            <color indexed="10"/>
            <rFont val="Tahoma"/>
            <family val="2"/>
          </rPr>
          <t>factura abonada por el investigador</t>
        </r>
        <r>
          <rPr>
            <b/>
            <sz val="9"/>
            <color indexed="81"/>
            <rFont val="Tahoma"/>
            <family val="2"/>
          </rPr>
          <t xml:space="preserve">
Las facturas de: alojamiento, locomoción, inscripción a congreso, curso, workshops, etc. Abonadas por el profesor, deben consignar su DNI y nombre, nunca  el CIF de la US.
</t>
        </r>
      </text>
    </comment>
    <comment ref="G58" authorId="0" shapeId="0" xr:uid="{00000000-0006-0000-0800-00000B000000}">
      <text>
        <r>
          <rPr>
            <b/>
            <sz val="9"/>
            <color indexed="81"/>
            <rFont val="Tahoma"/>
            <family val="2"/>
          </rPr>
          <t>Pago a la Agencia de Viaje</t>
        </r>
        <r>
          <rPr>
            <sz val="9"/>
            <color indexed="81"/>
            <rFont val="Tahoma"/>
            <family val="2"/>
          </rPr>
          <t xml:space="preserve">
Pago a la Agencia de Viaje
Las facturas de pagos a terceros (cuando la US. abona a la agencia de viajes) deben cumplir los siguientes requisitos:
1) Preferentemente deben ser de Halcón Viajes, en caso excepcionales si son de otra agencia deben gestionarse con contrato menor o en su caso acuerdo marco.
2) Las facturas deben consignar el CIF de la US.
3) No pueden incluir gastos no imputables en los proyectos como: cena de gala, excursiones etc.
4) Deben venir desglosados los importes por conceptos (alojamiento locomoción, etc.)</t>
        </r>
      </text>
    </comment>
    <comment ref="C67" authorId="1" shapeId="0" xr:uid="{00000000-0006-0000-0800-00000C000000}">
      <text>
        <r>
          <rPr>
            <b/>
            <sz val="8"/>
            <color indexed="81"/>
            <rFont val="Tahoma"/>
            <family val="2"/>
          </rPr>
          <t xml:space="preserve">Rafaela Moron:
</t>
        </r>
        <r>
          <rPr>
            <sz val="8"/>
            <color indexed="81"/>
            <rFont val="Tahoma"/>
            <family val="2"/>
          </rPr>
          <t xml:space="preserve">
</t>
        </r>
        <r>
          <rPr>
            <b/>
            <sz val="8"/>
            <color indexed="10"/>
            <rFont val="Tahoma"/>
            <family val="2"/>
          </rPr>
          <t>UTILIZACIÓN DEL VEHÍCULO PARTICULAR</t>
        </r>
        <r>
          <rPr>
            <sz val="8"/>
            <color indexed="81"/>
            <rFont val="Tahoma"/>
            <family val="2"/>
          </rPr>
          <t xml:space="preserve">
Con carácter general los desplazamientos se realizarán en</t>
        </r>
        <r>
          <rPr>
            <b/>
            <sz val="8"/>
            <color indexed="81"/>
            <rFont val="Tahoma"/>
            <family val="2"/>
          </rPr>
          <t xml:space="preserve"> transporte público y clase turista, primando siempre el principio de economía,</t>
        </r>
        <r>
          <rPr>
            <sz val="8"/>
            <color indexed="81"/>
            <rFont val="Tahoma"/>
            <family val="2"/>
          </rPr>
          <t xml:space="preserve"> siendo excepcional el uso del vehículo particular y siempre que sea la opción más económica, debiendo quedar justificado dicha circunstancia en la comisión de servicio autorizada por su institución.</t>
        </r>
        <r>
          <rPr>
            <b/>
            <sz val="8"/>
            <color indexed="32"/>
            <rFont val="Tahoma"/>
            <family val="2"/>
          </rPr>
          <t xml:space="preserve"> IMPORTANTE: Ajuntar declaración responsable.
</t>
        </r>
        <r>
          <rPr>
            <b/>
            <sz val="8"/>
            <color indexed="10"/>
            <rFont val="Tahoma"/>
            <family val="2"/>
          </rPr>
          <t>Gasolina</t>
        </r>
        <r>
          <rPr>
            <b/>
            <sz val="8"/>
            <color indexed="32"/>
            <rFont val="Tahoma"/>
            <family val="2"/>
          </rPr>
          <t>: sólo para vehículo de alquiler o del grupo de investigación y si el gasto es admisible en el proyecto, detallando el vehículo, fecha, kilómetros desplazados y motivo del viaje</t>
        </r>
        <r>
          <rPr>
            <sz val="8"/>
            <color indexed="81"/>
            <rFont val="Tahoma"/>
            <family val="2"/>
          </rPr>
          <t xml:space="preserve">
</t>
        </r>
        <r>
          <rPr>
            <sz val="8"/>
            <color indexed="81"/>
            <rFont val="Tahoma"/>
            <family val="2"/>
          </rPr>
          <t xml:space="preserve"> </t>
        </r>
        <r>
          <rPr>
            <b/>
            <sz val="8"/>
            <color indexed="10"/>
            <rFont val="Tahoma"/>
            <family val="2"/>
          </rPr>
          <t>Para vehículo propio</t>
        </r>
        <r>
          <rPr>
            <sz val="8"/>
            <color indexed="81"/>
            <rFont val="Tahoma"/>
            <family val="2"/>
          </rPr>
          <t xml:space="preserve"> sólo kilometraje
Las distancias entre las distintas localidades, en general, serán calculadas con arreglo a las que figuren en el Mapa Oficial de Carreteras editado por el Ministerio de Obras Públicas y Urbanismo.</t>
        </r>
      </text>
    </comment>
    <comment ref="D69" authorId="0" shapeId="0" xr:uid="{00000000-0006-0000-0800-00000D000000}">
      <text>
        <r>
          <rPr>
            <b/>
            <sz val="9"/>
            <color indexed="81"/>
            <rFont val="Tahoma"/>
            <family val="2"/>
          </rPr>
          <t xml:space="preserve">Pago a la Agencia de Viaje
</t>
        </r>
        <r>
          <rPr>
            <sz val="9"/>
            <color indexed="81"/>
            <rFont val="Tahoma"/>
            <family val="2"/>
          </rPr>
          <t xml:space="preserve">
</t>
        </r>
      </text>
    </comment>
    <comment ref="F69" authorId="0" shapeId="0" xr:uid="{00000000-0006-0000-0800-00000E000000}">
      <text>
        <r>
          <rPr>
            <b/>
            <sz val="9"/>
            <color indexed="81"/>
            <rFont val="Tahoma"/>
            <family val="2"/>
          </rPr>
          <t xml:space="preserve">Pago a la Agencia de Viaje
</t>
        </r>
        <r>
          <rPr>
            <sz val="9"/>
            <color indexed="81"/>
            <rFont val="Tahoma"/>
            <family val="2"/>
          </rPr>
          <t xml:space="preserve">
</t>
        </r>
      </text>
    </comment>
    <comment ref="F74" authorId="0" shapeId="0" xr:uid="{00000000-0006-0000-0800-00000F000000}">
      <text>
        <r>
          <rPr>
            <b/>
            <sz val="9"/>
            <color indexed="81"/>
            <rFont val="Tahoma"/>
            <family val="2"/>
          </rPr>
          <t xml:space="preserve">gasto de inscripción
</t>
        </r>
        <r>
          <rPr>
            <sz val="9"/>
            <color indexed="81"/>
            <rFont val="Tahoma"/>
            <family val="2"/>
          </rPr>
          <t xml:space="preserve">
</t>
        </r>
      </text>
    </comment>
    <comment ref="G74" authorId="0" shapeId="0" xr:uid="{00000000-0006-0000-0800-000010000000}">
      <text>
        <r>
          <rPr>
            <b/>
            <sz val="10"/>
            <color indexed="10"/>
            <rFont val="Tahoma"/>
            <family val="2"/>
          </rPr>
          <t xml:space="preserve">otros documentos
</t>
        </r>
        <r>
          <rPr>
            <b/>
            <sz val="10"/>
            <color indexed="81"/>
            <rFont val="Tahoma"/>
            <family val="2"/>
          </rPr>
          <t>ej. *Gastos de publicación de abstracts (cuando la inscripción no lo cubre) 
*Asistencia a workshops (cuando la inscripción no lo cubre)
*</t>
        </r>
        <r>
          <rPr>
            <b/>
            <sz val="10"/>
            <color indexed="10"/>
            <rFont val="Tahoma"/>
            <family val="2"/>
          </rPr>
          <t xml:space="preserve"> Los gastos del poster</t>
        </r>
        <r>
          <rPr>
            <b/>
            <sz val="10"/>
            <color indexed="81"/>
            <rFont val="Tahoma"/>
            <family val="2"/>
          </rPr>
          <t xml:space="preserve"> deben consigar el CIF de la US. (Q4118001I) y tramitarse con una reserva de crédito o acuerdo marco, también le recordamos que debe presentar la publicidad del poster con los logos correspondiente.
</t>
        </r>
      </text>
    </comment>
    <comment ref="F75" authorId="0" shapeId="0" xr:uid="{00000000-0006-0000-0800-000011000000}">
      <text>
        <r>
          <rPr>
            <b/>
            <sz val="9"/>
            <color indexed="81"/>
            <rFont val="Tahoma"/>
            <family val="2"/>
          </rPr>
          <t xml:space="preserve">gasto de inscripción
</t>
        </r>
        <r>
          <rPr>
            <sz val="9"/>
            <color indexed="81"/>
            <rFont val="Tahoma"/>
            <family val="2"/>
          </rPr>
          <t xml:space="preserve">
</t>
        </r>
      </text>
    </comment>
    <comment ref="G75" authorId="0" shapeId="0" xr:uid="{00000000-0006-0000-0800-000012000000}">
      <text>
        <r>
          <rPr>
            <b/>
            <sz val="10"/>
            <color indexed="10"/>
            <rFont val="Tahoma"/>
            <family val="2"/>
          </rPr>
          <t xml:space="preserve">otros documentos
</t>
        </r>
        <r>
          <rPr>
            <b/>
            <sz val="10"/>
            <color indexed="81"/>
            <rFont val="Tahoma"/>
            <family val="2"/>
          </rPr>
          <t>ej. *Gastos de publicación de abstracts (cuando la inscripción no lo cubre) 
*Asistencia a workshops (cuando la inscripción no lo cubre)
*</t>
        </r>
        <r>
          <rPr>
            <b/>
            <sz val="10"/>
            <color indexed="10"/>
            <rFont val="Tahoma"/>
            <family val="2"/>
          </rPr>
          <t xml:space="preserve"> Los gastos del poster
</t>
        </r>
        <r>
          <rPr>
            <b/>
            <sz val="10"/>
            <color indexed="81"/>
            <rFont val="Tahoma"/>
            <family val="2"/>
          </rPr>
          <t xml:space="preserve"> deben consigar el CIF de la US. (Q4118001I) y tramitarse con una reserva de crédito o acuerdo marco, también le recordamos que debe presentar la publicidad del poster con los logos correspondiente.
</t>
        </r>
      </text>
    </comment>
    <comment ref="D76" authorId="0" shapeId="0" xr:uid="{00000000-0006-0000-0800-000013000000}">
      <text>
        <r>
          <rPr>
            <b/>
            <sz val="9"/>
            <color indexed="81"/>
            <rFont val="Tahoma"/>
            <family val="2"/>
          </rPr>
          <t>Rafaela:</t>
        </r>
        <r>
          <rPr>
            <sz val="9"/>
            <color indexed="81"/>
            <rFont val="Tahoma"/>
            <family val="2"/>
          </rPr>
          <t xml:space="preserve">
</t>
        </r>
        <r>
          <rPr>
            <b/>
            <sz val="9"/>
            <color indexed="37"/>
            <rFont val="Tahoma"/>
            <family val="2"/>
          </rPr>
          <t xml:space="preserve">Si ha solicitado un anticipo, no olvide adjuntar una copia de la orden de pago.
</t>
        </r>
      </text>
    </comment>
    <comment ref="H82" authorId="0" shapeId="0" xr:uid="{00000000-0006-0000-0800-000014000000}">
      <text>
        <r>
          <rPr>
            <b/>
            <sz val="9"/>
            <color indexed="81"/>
            <rFont val="Tahoma"/>
            <family val="2"/>
          </rPr>
          <t>Rafaela Morón:
1)Si no quiere renunciar no inserte ningún importe.</t>
        </r>
        <r>
          <rPr>
            <sz val="9"/>
            <color indexed="81"/>
            <rFont val="Tahoma"/>
            <family val="2"/>
          </rPr>
          <t xml:space="preserve">
</t>
        </r>
        <r>
          <rPr>
            <b/>
            <sz val="9"/>
            <color indexed="32"/>
            <rFont val="Tahoma"/>
            <family val="2"/>
          </rPr>
          <t xml:space="preserve">2)Los importes recibidos con anticipo no se consideran renuncia.
</t>
        </r>
        <r>
          <rPr>
            <sz val="9"/>
            <color indexed="81"/>
            <rFont val="Tahoma"/>
            <family val="2"/>
          </rPr>
          <t xml:space="preserve">
</t>
        </r>
        <r>
          <rPr>
            <b/>
            <sz val="9"/>
            <color indexed="81"/>
            <rFont val="Tahoma"/>
            <family val="2"/>
          </rPr>
          <t>2) El importe que indique en la celda será el total que percibirá por su viaje. Si no quiere renunciar no inserte importe.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Rafaela</author>
  </authors>
  <commentList>
    <comment ref="I31" authorId="0" shapeId="0" xr:uid="{00000000-0006-0000-0E00-000001000000}">
      <text>
        <r>
          <rPr>
            <sz val="9"/>
            <color indexed="81"/>
            <rFont val="Tahoma"/>
            <family val="2"/>
          </rPr>
          <t xml:space="preserve">El importe máximo que se puede imputar es el que establece el correspondiente decreto de dietas, excepcionalmente y con autorización del Sr. Gerente de la US podrá solicitar la diferencia por otro proyecto/ayuda que admita el gasto.
</t>
        </r>
        <r>
          <rPr>
            <b/>
            <sz val="9"/>
            <color indexed="10"/>
            <rFont val="Tahoma"/>
            <family val="2"/>
          </rPr>
          <t>( Ver ejemplo2)</t>
        </r>
      </text>
    </comment>
    <comment ref="I35" authorId="0" shapeId="0" xr:uid="{00000000-0006-0000-0E00-000002000000}">
      <text>
        <r>
          <rPr>
            <sz val="9"/>
            <color indexed="81"/>
            <rFont val="Tahoma"/>
            <family val="2"/>
          </rPr>
          <t xml:space="preserve">
</t>
        </r>
        <r>
          <rPr>
            <b/>
            <sz val="9"/>
            <color indexed="10"/>
            <rFont val="Tahoma"/>
            <family val="2"/>
          </rPr>
          <t>*</t>
        </r>
        <r>
          <rPr>
            <b/>
            <u/>
            <sz val="9"/>
            <color indexed="81"/>
            <rFont val="Tahoma"/>
            <family val="2"/>
          </rPr>
          <t xml:space="preserve"> Factura simplificada sin el CIF de la US
</t>
        </r>
        <r>
          <rPr>
            <sz val="9"/>
            <color indexed="81"/>
            <rFont val="Tahoma"/>
            <family val="2"/>
          </rPr>
          <t xml:space="preserve">
</t>
        </r>
        <r>
          <rPr>
            <b/>
            <sz val="9"/>
            <color indexed="10"/>
            <rFont val="Tahoma"/>
            <family val="2"/>
          </rPr>
          <t>*</t>
        </r>
        <r>
          <rPr>
            <b/>
            <u/>
            <sz val="9"/>
            <color indexed="81"/>
            <rFont val="Tahoma"/>
            <family val="2"/>
          </rPr>
          <t>El importe máximo que se puede imputar es el que establece el correspondiente decreto de dietas</t>
        </r>
        <r>
          <rPr>
            <sz val="9"/>
            <color indexed="81"/>
            <rFont val="Tahoma"/>
            <family val="2"/>
          </rPr>
          <t xml:space="preserve">, excepcionalmente y con autorización del Sr. Gerente de la US podrá solicitar la diferencia por otro proyecto/ayuda que admita el gasto.
</t>
        </r>
        <r>
          <rPr>
            <b/>
            <sz val="9"/>
            <color indexed="10"/>
            <rFont val="Tahoma"/>
            <family val="2"/>
          </rPr>
          <t>( Ver ejemplo2)</t>
        </r>
      </text>
    </comment>
    <comment ref="E39" authorId="0" shapeId="0" xr:uid="{00000000-0006-0000-0E00-000003000000}">
      <text>
        <r>
          <rPr>
            <sz val="9"/>
            <color indexed="81"/>
            <rFont val="Tahoma"/>
            <family val="2"/>
          </rPr>
          <t xml:space="preserve">Solo en aquellos proyectos que admita este gasto. </t>
        </r>
        <r>
          <rPr>
            <b/>
            <sz val="9"/>
            <color indexed="10"/>
            <rFont val="Tahoma"/>
            <family val="2"/>
          </rPr>
          <t>(Ver ejemplo2)</t>
        </r>
        <r>
          <rPr>
            <sz val="9"/>
            <color indexed="81"/>
            <rFont val="Tahoma"/>
            <family val="2"/>
          </rPr>
          <t xml:space="preserve">
</t>
        </r>
      </text>
    </comment>
    <comment ref="C55" authorId="0" shapeId="0" xr:uid="{00000000-0006-0000-0E00-000004000000}">
      <text>
        <r>
          <rPr>
            <sz val="9"/>
            <color indexed="81"/>
            <rFont val="Tahoma"/>
            <family val="2"/>
          </rPr>
          <t xml:space="preserve">
Escriba los 10 dígitos seguido, sin espacio ni puntos. Ej.:
</t>
        </r>
        <r>
          <rPr>
            <b/>
            <sz val="9"/>
            <color indexed="10"/>
            <rFont val="Tahoma"/>
            <family val="2"/>
          </rPr>
          <t>xxxxxxxxxx</t>
        </r>
      </text>
    </comment>
    <comment ref="G55" authorId="0" shapeId="0" xr:uid="{00000000-0006-0000-0E00-000005000000}">
      <text>
        <r>
          <rPr>
            <sz val="9"/>
            <color indexed="81"/>
            <rFont val="Tahoma"/>
            <family val="2"/>
          </rPr>
          <t xml:space="preserve">
Ej.: 2023/1234</t>
        </r>
      </text>
    </comment>
  </commentList>
</comments>
</file>

<file path=xl/sharedStrings.xml><?xml version="1.0" encoding="utf-8"?>
<sst xmlns="http://schemas.openxmlformats.org/spreadsheetml/2006/main" count="3742" uniqueCount="1226">
  <si>
    <t> Este formulario de Excel no suele funcionar en ordenadores Mac.</t>
  </si>
  <si>
    <t>FORMULARIO</t>
  </si>
  <si>
    <t>PAGOS A CONFERENCIANTES (Ministerio/Junta)</t>
  </si>
  <si>
    <t>Debido a que este archivo se encuentra en fase de pruebas y está</t>
  </si>
  <si>
    <t xml:space="preserve">Solo se usa para abonar el concepto de “conferencia” a un ponente invitado, </t>
  </si>
  <si>
    <t xml:space="preserve"> sujeto a actualizaciones continuas, se solicita no guardar ni realizar </t>
  </si>
  <si>
    <t>junto con algún gasto en concepto de viajes que procediera ser abonado</t>
  </si>
  <si>
    <t>copias y acceder siempre a la última versión disponible en la web.</t>
  </si>
  <si>
    <r>
      <t>FORMULARIO DE LIQUIDACIÓN (</t>
    </r>
    <r>
      <rPr>
        <b/>
        <sz val="10"/>
        <color rgb="FF000099"/>
        <rFont val="Arial"/>
        <family val="2"/>
      </rPr>
      <t>En un MAC  no suele funcionar</t>
    </r>
    <r>
      <rPr>
        <b/>
        <sz val="10"/>
        <color rgb="FFB00000"/>
        <rFont val="Arial"/>
        <family val="2"/>
      </rPr>
      <t>)</t>
    </r>
  </si>
  <si>
    <t>AYUDA DEL FORMULARIO</t>
  </si>
  <si>
    <t>0. CUADRO DE AVISO DE ERRORES</t>
  </si>
  <si>
    <t>Fecha de la solicitud</t>
  </si>
  <si>
    <t>¿Desea renunciar a una parte?</t>
  </si>
  <si>
    <t>SÍ</t>
  </si>
  <si>
    <t>¿Para este viaje ha solicitado un anticipo?</t>
  </si>
  <si>
    <t>Haga clica para ir a la liquidación</t>
  </si>
  <si>
    <t>1. DATOS DEL SOLICITANTE</t>
  </si>
  <si>
    <t>Elija la Opción    ▼</t>
  </si>
  <si>
    <t>Nombre y Apellidos</t>
  </si>
  <si>
    <t>D.N.I</t>
  </si>
  <si>
    <t>NACIONALIDAD</t>
  </si>
  <si>
    <t>ESPAÑOLA</t>
  </si>
  <si>
    <t>EXTRANJERA (SIN RESIDENCIA EN ESPAÑA)</t>
  </si>
  <si>
    <t>Entidad para la que trabaja</t>
  </si>
  <si>
    <t xml:space="preserve">Categoría profesional </t>
  </si>
  <si>
    <t>Nº de cuenta bancaria</t>
  </si>
  <si>
    <t>para la salida</t>
  </si>
  <si>
    <t>2. DATOS DEL PROYECTO / PARA EL PROYECTO</t>
  </si>
  <si>
    <t>para el regreso</t>
  </si>
  <si>
    <r>
      <t xml:space="preserve">Orgánica </t>
    </r>
    <r>
      <rPr>
        <sz val="9"/>
        <color rgb="FFC00000"/>
        <rFont val="Arial"/>
        <family val="2"/>
      </rPr>
      <t>(escriba sin espacio y sin puntos</t>
    </r>
    <r>
      <rPr>
        <b/>
        <sz val="9"/>
        <rFont val="Arial"/>
        <family val="2"/>
      </rPr>
      <t>)</t>
    </r>
  </si>
  <si>
    <t xml:space="preserve">Proyecto </t>
  </si>
  <si>
    <t>Tipo de proyecto</t>
  </si>
  <si>
    <t>CONVOCATORIAS</t>
  </si>
  <si>
    <t xml:space="preserve">ATRAE 2023  </t>
  </si>
  <si>
    <t xml:space="preserve">ATRAE 2023  (Excepto Madrid/Barcelona) </t>
  </si>
  <si>
    <t xml:space="preserve">ATRAE 2023   (Madrid/Barcelona) </t>
  </si>
  <si>
    <t xml:space="preserve">Normativa US  </t>
  </si>
  <si>
    <t>ATRAE 2024</t>
  </si>
  <si>
    <t xml:space="preserve">ATRAE 2024 (Excepto Madrid/Barcelona) </t>
  </si>
  <si>
    <t xml:space="preserve">CEX 2024  </t>
  </si>
  <si>
    <t xml:space="preserve">CEX 2024   (Excepto Madrid/Barcelona) </t>
  </si>
  <si>
    <t xml:space="preserve">CEX 2024  (Madrid/Barcelona) </t>
  </si>
  <si>
    <t>Vinculación con el proyecto</t>
  </si>
  <si>
    <t>Actividad/evento al que asiste</t>
  </si>
  <si>
    <t xml:space="preserve">CNS 2023   </t>
  </si>
  <si>
    <t xml:space="preserve">CNS 2023   (Excepto Madrid/Barcelona) </t>
  </si>
  <si>
    <t>CNS 2023  (Madrid/Barcelona)</t>
  </si>
  <si>
    <t xml:space="preserve">ATRAE 2024  (Madrid/Barcelona) </t>
  </si>
  <si>
    <t>CNS 2022</t>
  </si>
  <si>
    <t>Equipo de investigación</t>
  </si>
  <si>
    <t xml:space="preserve">CNS 2024   </t>
  </si>
  <si>
    <t xml:space="preserve">CNS 2024   (Excepto Madrid/Barcelona) </t>
  </si>
  <si>
    <t>CNS 2024  (Madrid/Barcelona)</t>
  </si>
  <si>
    <t>CPP 2023</t>
  </si>
  <si>
    <t>CPP  2023  (Excepto Madrid/Barcelona)</t>
  </si>
  <si>
    <t xml:space="preserve">CPP 2023  (Madrid/Barcelona) </t>
  </si>
  <si>
    <t>Fecha de inicio de todas las actividades</t>
  </si>
  <si>
    <t>Fin de las actividades</t>
  </si>
  <si>
    <t xml:space="preserve">CPP 2024 </t>
  </si>
  <si>
    <t xml:space="preserve">CPP 2024   (Excepto Madrid/Barcelona) </t>
  </si>
  <si>
    <t xml:space="preserve">CPP 2024  (Madrid/Barcelona) </t>
  </si>
  <si>
    <t xml:space="preserve">CPP  2023  </t>
  </si>
  <si>
    <t xml:space="preserve">EUR 2024 </t>
  </si>
  <si>
    <t xml:space="preserve">EUR 2024  (Excepto Madrid/Barcelona) </t>
  </si>
  <si>
    <t xml:space="preserve">EUR 2024  (Madrid/Barcelona) </t>
  </si>
  <si>
    <t>Itinerario</t>
  </si>
  <si>
    <t xml:space="preserve">Lugar </t>
  </si>
  <si>
    <t xml:space="preserve">JUAN DE LA CIERVA 2023   </t>
  </si>
  <si>
    <t xml:space="preserve">JUAN DE LA CIERVA 2023   (Excepto Madrid/Barcelona) </t>
  </si>
  <si>
    <t xml:space="preserve">JUAN DE LA CIERVA 2023  (Madrid/Barcelona) </t>
  </si>
  <si>
    <t xml:space="preserve">JUAN DE LA CIERVA 2024   </t>
  </si>
  <si>
    <t xml:space="preserve">JUAN DE LA CIERVA 2024   (Excepto Madrid/Barcelona) </t>
  </si>
  <si>
    <t xml:space="preserve">JUAN DE LA CIERVA 2024  (Madrid/Barcelona) </t>
  </si>
  <si>
    <t>21/22/24/26/51/50/54/59/56/58</t>
  </si>
  <si>
    <t xml:space="preserve">Junta </t>
  </si>
  <si>
    <t>Junta excepto Madrid</t>
  </si>
  <si>
    <t>Junta Madrid</t>
  </si>
  <si>
    <t xml:space="preserve">CPP 2023   (Excepto Madrid/Barcelona) </t>
  </si>
  <si>
    <t>3. GASTOS DE LOCOMOCIÓN / INSCRIPCIÓN / OTROS</t>
  </si>
  <si>
    <t>Ministerio</t>
  </si>
  <si>
    <t>23/71/11</t>
  </si>
  <si>
    <t xml:space="preserve">Normativa US  (Excepto Madrid/Barcelona) </t>
  </si>
  <si>
    <t xml:space="preserve">Normativa US (Madrid/Barcelona) </t>
  </si>
  <si>
    <t>Nº de Km:</t>
  </si>
  <si>
    <t>0,26 €/Km</t>
  </si>
  <si>
    <t>Matrícula del Vehículo particular</t>
  </si>
  <si>
    <t>Elija Opción</t>
  </si>
  <si>
    <t xml:space="preserve"> Elija la Opción</t>
  </si>
  <si>
    <t>Para proyectos Cátedras (Ministerio) GRUPO 1 (Catedráticos)</t>
  </si>
  <si>
    <t>Alquiler coche</t>
  </si>
  <si>
    <t>IP o CoIP del proyecto</t>
  </si>
  <si>
    <t>Para proyectos Cátedras (Ministerio) GRUPO 2 (Personal Investigador)</t>
  </si>
  <si>
    <t>Avión</t>
  </si>
  <si>
    <t>PCI 2024</t>
  </si>
  <si>
    <t xml:space="preserve">PCI 2024  (Excepto Madrid/Barcelona) </t>
  </si>
  <si>
    <t>PCI 2024  (Madrid/Barcelona)</t>
  </si>
  <si>
    <t>Tren</t>
  </si>
  <si>
    <t>Barco</t>
  </si>
  <si>
    <t xml:space="preserve"> Equipo de trabajo</t>
  </si>
  <si>
    <t xml:space="preserve">PCI 2025 </t>
  </si>
  <si>
    <t xml:space="preserve">PCI 2025  (Excepto Madrid/Barcelona) </t>
  </si>
  <si>
    <t>PCI 2025  (Madrid/Barcelona)</t>
  </si>
  <si>
    <t>Pago con Acuerdo Marco</t>
  </si>
  <si>
    <t>Bus</t>
  </si>
  <si>
    <t>Colaboración puntual</t>
  </si>
  <si>
    <t>PDC 2025</t>
  </si>
  <si>
    <t>PDC 2025 (Excepto Madrid/Barcelona)</t>
  </si>
  <si>
    <t>PDC 2025 (Madrid/Barcelona)</t>
  </si>
  <si>
    <t>Gasolina</t>
  </si>
  <si>
    <t xml:space="preserve">PID  2023  </t>
  </si>
  <si>
    <t xml:space="preserve">PID  2023   (Excepto Madrid/Barcelona) </t>
  </si>
  <si>
    <t xml:space="preserve">PID  2023   (Madrid/Barcelona) </t>
  </si>
  <si>
    <t>Metro</t>
  </si>
  <si>
    <t xml:space="preserve">PID  2024  </t>
  </si>
  <si>
    <t>PID  2024  (Excepto Madrid/Barcelona)</t>
  </si>
  <si>
    <t xml:space="preserve">PID 2024  (Madrid/Barcelona) </t>
  </si>
  <si>
    <t>Parking</t>
  </si>
  <si>
    <t xml:space="preserve">PID 2022 </t>
  </si>
  <si>
    <t xml:space="preserve">PID 2022 (Excepto Madrid/Barcelona) </t>
  </si>
  <si>
    <t xml:space="preserve">PID 2022 (Madrid/Barcelona) </t>
  </si>
  <si>
    <t>Gastos de inscripción abonada por el comisionado</t>
  </si>
  <si>
    <t xml:space="preserve">Gastos de inscripción Pago con reserva de crédito </t>
  </si>
  <si>
    <t>Peaje</t>
  </si>
  <si>
    <t>PLEC 2021 (MINISTERIO)</t>
  </si>
  <si>
    <t>Importe</t>
  </si>
  <si>
    <t>Seguro de accidente</t>
  </si>
  <si>
    <t>PLEC 2022 (MINISTERIO)</t>
  </si>
  <si>
    <t>Seguro médico</t>
  </si>
  <si>
    <t xml:space="preserve">PLEC 2023  </t>
  </si>
  <si>
    <t xml:space="preserve">PLEC 2023   (Excepto Madrid/Barcelona) </t>
  </si>
  <si>
    <t xml:space="preserve">PLEC 2023  (Madrid/Barcelona) </t>
  </si>
  <si>
    <t>Otros gastos</t>
  </si>
  <si>
    <t>Taxis</t>
  </si>
  <si>
    <t xml:space="preserve">PLEC 2024  </t>
  </si>
  <si>
    <t xml:space="preserve">PLEC 2024   (Excepto Madrid/Barcelona) </t>
  </si>
  <si>
    <t xml:space="preserve">PLEC 2024  (Madrid/Barcelona) </t>
  </si>
  <si>
    <t>RAMON Y CAJAL 2022</t>
  </si>
  <si>
    <t xml:space="preserve">RAMON Y CAJAL 2022  (Excepto Madrid/Barcelona) </t>
  </si>
  <si>
    <t xml:space="preserve">RAMON Y CAJAL 2022  (Madrid/Barcelona) </t>
  </si>
  <si>
    <t>Visado</t>
  </si>
  <si>
    <t xml:space="preserve">RAMON Y CAJAL 2023  </t>
  </si>
  <si>
    <t>RAMON Y CAJAL 2023   (Excepto Madrid/Barcelona)</t>
  </si>
  <si>
    <t xml:space="preserve">RAMON Y CAJAL 2023   (Madrid/Barcelona) </t>
  </si>
  <si>
    <t xml:space="preserve">RAMON Y CAJAL 2024 </t>
  </si>
  <si>
    <t xml:space="preserve">RAMON Y CAJAL 2024  (Excepto Madrid/Barcelona) </t>
  </si>
  <si>
    <t xml:space="preserve">RAMON Y CAJAL 2024  (Madrid/Barcelona) </t>
  </si>
  <si>
    <r>
      <t>4.a. DIETAS EN TERRITORIO NACIONAL O TRÁNSITO PARA LA</t>
    </r>
    <r>
      <rPr>
        <b/>
        <u/>
        <sz val="10"/>
        <color rgb="FFC00000"/>
        <rFont val="Arial"/>
        <family val="2"/>
      </rPr>
      <t xml:space="preserve"> SALIDA</t>
    </r>
  </si>
  <si>
    <t xml:space="preserve">RED 2024 </t>
  </si>
  <si>
    <t xml:space="preserve">RED 2024  (Excepto Madrid/Barcelona) </t>
  </si>
  <si>
    <t>RED 2024  (Madrid/Barcelona)</t>
  </si>
  <si>
    <t xml:space="preserve">CNS 2022  (Excepto Madrid/Barcelona) </t>
  </si>
  <si>
    <t>CNS 2022  (Madrid/Barcelona)</t>
  </si>
  <si>
    <t>Fecha de Inicio  del viaje</t>
  </si>
  <si>
    <t>Hora:mm</t>
  </si>
  <si>
    <t>Fecha de fin del viaje</t>
  </si>
  <si>
    <t>¿Renuncia a la manutención?</t>
  </si>
  <si>
    <t>Fecha de Inicio de la actividad</t>
  </si>
  <si>
    <t xml:space="preserve">Fecha de fin de la actividad </t>
  </si>
  <si>
    <t xml:space="preserve">Factura de alojamiento abonada por el comisionado </t>
  </si>
  <si>
    <t>Factura de alojamiento (pago con Acuerdo Marco)</t>
  </si>
  <si>
    <t xml:space="preserve">Importe </t>
  </si>
  <si>
    <t>Nº de noches</t>
  </si>
  <si>
    <t xml:space="preserve">4.b. DIETAS EN EL PRIMER PAÍS EXTRANJERO O ÚNICO </t>
  </si>
  <si>
    <t xml:space="preserve">Fecha de inicio del viaje </t>
  </si>
  <si>
    <t>Fecha Inicio de la actividad</t>
  </si>
  <si>
    <t>SERBIA Y MONTENEGRO</t>
  </si>
  <si>
    <t>PRUEBA DE CONCEPTO 2024 (Excepto Madrid/Barcelona)</t>
  </si>
  <si>
    <t>Fecha de Fin del viaje</t>
  </si>
  <si>
    <t>Fecha Fin de la actividad</t>
  </si>
  <si>
    <t>¿Renuncia a toda la manutención de este país?</t>
  </si>
  <si>
    <t>NO</t>
  </si>
  <si>
    <t>Factura de alojamiento(pago con Acuerdo Marco)</t>
  </si>
  <si>
    <r>
      <t>4.c. VIAJE EN TRÁNSITO DE</t>
    </r>
    <r>
      <rPr>
        <b/>
        <u/>
        <sz val="10"/>
        <color rgb="FFC00000"/>
        <rFont val="Arial"/>
        <family val="2"/>
      </rPr>
      <t xml:space="preserve"> REGRESO </t>
    </r>
    <r>
      <rPr>
        <b/>
        <sz val="10"/>
        <color rgb="FFC00000"/>
        <rFont val="Arial"/>
        <family val="2"/>
      </rPr>
      <t>DIETAS EN TERRITORIO NACIONAL</t>
    </r>
  </si>
  <si>
    <t>Si después del regreso del extranjero, necesita pernoctar en una ciudad dentro del territorio nacional complete el siguiente cuadro</t>
  </si>
  <si>
    <t xml:space="preserve">Fecha de Inicio de la actividad </t>
  </si>
  <si>
    <t>Factura de alojamiento (pago conAcuerdo Marco)</t>
  </si>
  <si>
    <t>ZIMBABWE</t>
  </si>
  <si>
    <t>RESTO DEL MUNDO</t>
  </si>
  <si>
    <r>
      <t xml:space="preserve">ELIJA EL PAÍS          </t>
    </r>
    <r>
      <rPr>
        <sz val="12"/>
        <rFont val="Arial"/>
        <family val="2"/>
      </rPr>
      <t>▼</t>
    </r>
  </si>
  <si>
    <t>VARIOS PAÍSES EXTRANJERO</t>
  </si>
  <si>
    <t>ALEMANIA</t>
  </si>
  <si>
    <t>ANDORRA</t>
  </si>
  <si>
    <t>Si tiene viajes secuenciales a un 2º país o 3º país extranjero, complete el siguiente cuadro</t>
  </si>
  <si>
    <t>ANGOLA</t>
  </si>
  <si>
    <t>ARABIA SAUDITA</t>
  </si>
  <si>
    <t>ARGELIA</t>
  </si>
  <si>
    <t>4.d. SEGUNDO PAÍS EXTRAJERO</t>
  </si>
  <si>
    <t>ARGENTINA</t>
  </si>
  <si>
    <t>AUSTRALIA</t>
  </si>
  <si>
    <t>ELIJA EL PAÍS          ▼</t>
  </si>
  <si>
    <t>AUSTRIA</t>
  </si>
  <si>
    <t>BELGICA</t>
  </si>
  <si>
    <t>BOLIVIA</t>
  </si>
  <si>
    <t>BOSNIA Y HERZEGOVINA</t>
  </si>
  <si>
    <t>BRASIL</t>
  </si>
  <si>
    <t>BULGARIA</t>
  </si>
  <si>
    <t>CAMERÚN</t>
  </si>
  <si>
    <t>CANADÁ</t>
  </si>
  <si>
    <t>CHILE</t>
  </si>
  <si>
    <t>CHINA</t>
  </si>
  <si>
    <t>COLOMBIA</t>
  </si>
  <si>
    <t>COREA</t>
  </si>
  <si>
    <t>COSTA DE MARFIL</t>
  </si>
  <si>
    <t>COSTA RICA</t>
  </si>
  <si>
    <t>CROACIA</t>
  </si>
  <si>
    <t>4.e.TERCER  PAÍS EXTRAJERO</t>
  </si>
  <si>
    <t>CUBA</t>
  </si>
  <si>
    <t>DINAMARCA</t>
  </si>
  <si>
    <t>ECUADOR</t>
  </si>
  <si>
    <t>EGIPTO</t>
  </si>
  <si>
    <t>EL SALVADOR</t>
  </si>
  <si>
    <t>EMIRATOS ARABES</t>
  </si>
  <si>
    <t>ESLOVAQUIA</t>
  </si>
  <si>
    <t>ESTADOS UNIDOS</t>
  </si>
  <si>
    <t>ETIOPIA</t>
  </si>
  <si>
    <t>FILIPINAS</t>
  </si>
  <si>
    <t>FINLANDIA</t>
  </si>
  <si>
    <t>FRANCIA</t>
  </si>
  <si>
    <t>GEBON</t>
  </si>
  <si>
    <t>GHENA</t>
  </si>
  <si>
    <t>GRECIA</t>
  </si>
  <si>
    <t>GUATEMALA</t>
  </si>
  <si>
    <t>GUINEA ECUATORIAL</t>
  </si>
  <si>
    <t>HAITI</t>
  </si>
  <si>
    <t>HONDURAS</t>
  </si>
  <si>
    <t>HONG KONG S.A.R</t>
  </si>
  <si>
    <t>HUNGRIA</t>
  </si>
  <si>
    <t>INDIA</t>
  </si>
  <si>
    <t>INDONESIA</t>
  </si>
  <si>
    <t>IRAK</t>
  </si>
  <si>
    <t>IRAN</t>
  </si>
  <si>
    <t>IRLANDA</t>
  </si>
  <si>
    <t>ISRAEL</t>
  </si>
  <si>
    <t>ITALIA</t>
  </si>
  <si>
    <t>JAMAICA</t>
  </si>
  <si>
    <t>JAPON</t>
  </si>
  <si>
    <t>JORDANIA</t>
  </si>
  <si>
    <t>KENIA</t>
  </si>
  <si>
    <t>KUWAIT</t>
  </si>
  <si>
    <t>LIBANO</t>
  </si>
  <si>
    <t>LIBIA</t>
  </si>
  <si>
    <t>LUXEMBURGO</t>
  </si>
  <si>
    <t>MALASIA</t>
  </si>
  <si>
    <t>MALTA</t>
  </si>
  <si>
    <t>MARRUECOS</t>
  </si>
  <si>
    <t>MAURITANIA</t>
  </si>
  <si>
    <t>MEXICO</t>
  </si>
  <si>
    <t>MOZAMBIQUE</t>
  </si>
  <si>
    <t>NICARAGUA</t>
  </si>
  <si>
    <t>NIGERIA</t>
  </si>
  <si>
    <t>NORUEGA</t>
  </si>
  <si>
    <t>NUEVA ZELANDA</t>
  </si>
  <si>
    <t>PAISES BAJOS</t>
  </si>
  <si>
    <t>PAKISTAN</t>
  </si>
  <si>
    <t>PANAMÁ</t>
  </si>
  <si>
    <t>PARAGUAY</t>
  </si>
  <si>
    <t>PERÚ</t>
  </si>
  <si>
    <t>POLONIA</t>
  </si>
  <si>
    <t>PORTUGAL</t>
  </si>
  <si>
    <t>REINO UNIDO</t>
  </si>
  <si>
    <t>REPUBLICA CHECA</t>
  </si>
  <si>
    <t>REPUBLICA DOMINICANA</t>
  </si>
  <si>
    <t>RUMANIA</t>
  </si>
  <si>
    <t>RUSIA</t>
  </si>
  <si>
    <t>SENEGAL</t>
  </si>
  <si>
    <t>SINGAPUR</t>
  </si>
  <si>
    <t>SIRIA</t>
  </si>
  <si>
    <t>SUDAFRICA</t>
  </si>
  <si>
    <t>SUECIA</t>
  </si>
  <si>
    <t>SUIZA</t>
  </si>
  <si>
    <t>TAILANDIA</t>
  </si>
  <si>
    <t>TAIWAN</t>
  </si>
  <si>
    <t>TANZANIA</t>
  </si>
  <si>
    <t>TUNEZ</t>
  </si>
  <si>
    <t>TURQUÍA</t>
  </si>
  <si>
    <t>URUGUAY</t>
  </si>
  <si>
    <t>VENEZUELA</t>
  </si>
  <si>
    <t>YEMEN</t>
  </si>
  <si>
    <t>ZAIRE/CONGO</t>
  </si>
  <si>
    <t>JUNTA</t>
  </si>
  <si>
    <t>ALOJAMIENTO</t>
  </si>
  <si>
    <t>MANUTENCION PERNOC</t>
  </si>
  <si>
    <t>MINISTERIO</t>
  </si>
  <si>
    <t xml:space="preserve">MANUTENCION </t>
  </si>
  <si>
    <t>1/2 MANUTEN.</t>
  </si>
  <si>
    <t>GRUPO 1</t>
  </si>
  <si>
    <t>MANUTENCION</t>
  </si>
  <si>
    <t>MEDIA</t>
  </si>
  <si>
    <t>1/2 Manutención 3</t>
  </si>
  <si>
    <t xml:space="preserve"> Manutención conmpleta 5</t>
  </si>
  <si>
    <t>Sin pernoctar 6</t>
  </si>
  <si>
    <t>sin pernoctar 7</t>
  </si>
  <si>
    <t xml:space="preserve"> ALOJAMIENTO  10</t>
  </si>
  <si>
    <t>FECHA</t>
  </si>
  <si>
    <t>BOLSA</t>
  </si>
  <si>
    <t>COLUM 3</t>
  </si>
  <si>
    <t>COLUM 4</t>
  </si>
  <si>
    <t xml:space="preserve">Instrucción 3/2025, de 23/06 de la Gerencia de la US </t>
  </si>
  <si>
    <t>FECHA INICIO DEL VIAJE</t>
  </si>
  <si>
    <t>NUEVO LISTADO</t>
  </si>
  <si>
    <t>BUSCAR</t>
  </si>
  <si>
    <t>1/2 Manutención</t>
  </si>
  <si>
    <t>Manutención completa</t>
  </si>
  <si>
    <t>Manutención sin pernoctar</t>
  </si>
  <si>
    <t>*</t>
  </si>
  <si>
    <t xml:space="preserve">Instrucción 3/2021, de 22 de diciembre de la Gerencia de la US </t>
  </si>
  <si>
    <t>&lt;26/06/2025</t>
  </si>
  <si>
    <t>AFGANISTAN</t>
  </si>
  <si>
    <t>Alemania</t>
  </si>
  <si>
    <t>Manutención pernoctando</t>
  </si>
  <si>
    <t>DECRETO DE DIETAS 54/1989</t>
  </si>
  <si>
    <t>ALBANIA</t>
  </si>
  <si>
    <t>Andorra</t>
  </si>
  <si>
    <t>R.D. 462/2002 de 24 DE MAYO</t>
  </si>
  <si>
    <t>Angola</t>
  </si>
  <si>
    <t>NUEVO DECRETO JUNTA</t>
  </si>
  <si>
    <t>Arabia Saudita</t>
  </si>
  <si>
    <t>Argelia</t>
  </si>
  <si>
    <t>Argentina</t>
  </si>
  <si>
    <t>ALOJAMIENTOS EXTRANJERO</t>
  </si>
  <si>
    <t>Australia</t>
  </si>
  <si>
    <t>MANUTENCION PERNOCATANDO EXTRANJERO</t>
  </si>
  <si>
    <t>Austria</t>
  </si>
  <si>
    <t>ARMENIA</t>
  </si>
  <si>
    <t>ESTA NORMATIVA ES PARA VIAJES POSTERIOR A26/06/2025</t>
  </si>
  <si>
    <t>Bolivia</t>
  </si>
  <si>
    <t>ESTA NORMATIVA ES PARA VIAJES POSTERIOR A 26/06/2025</t>
  </si>
  <si>
    <t>Bosnia-Herzegovina</t>
  </si>
  <si>
    <t>AZERBAIYAN</t>
  </si>
  <si>
    <t>Brasil</t>
  </si>
  <si>
    <t>BAHAMAS</t>
  </si>
  <si>
    <t>Bulgaria</t>
  </si>
  <si>
    <t>BANGLADESH</t>
  </si>
  <si>
    <t>BARBADOS</t>
  </si>
  <si>
    <t>BAREIN</t>
  </si>
  <si>
    <t>Chile</t>
  </si>
  <si>
    <t>BÉLGICA</t>
  </si>
  <si>
    <t>China</t>
  </si>
  <si>
    <t>BELICE</t>
  </si>
  <si>
    <t>Colombia</t>
  </si>
  <si>
    <t>.</t>
  </si>
  <si>
    <t>BENIN</t>
  </si>
  <si>
    <t>Corea</t>
  </si>
  <si>
    <t>BIELORRUSIA</t>
  </si>
  <si>
    <t>Costa de Marfil</t>
  </si>
  <si>
    <t>Costa Rica</t>
  </si>
  <si>
    <t>Croacia</t>
  </si>
  <si>
    <t>BOTSUANA</t>
  </si>
  <si>
    <t>Cuba</t>
  </si>
  <si>
    <t>Dinamarca</t>
  </si>
  <si>
    <t>CPP  2024  (Excepto Madrid/Barcelona)</t>
  </si>
  <si>
    <t>BRUNEI</t>
  </si>
  <si>
    <t>R. Dominicana</t>
  </si>
  <si>
    <t>Ecuador</t>
  </si>
  <si>
    <t>BURKINA FASO</t>
  </si>
  <si>
    <t>Egipto</t>
  </si>
  <si>
    <t>BURUNDI</t>
  </si>
  <si>
    <t>El Salvador</t>
  </si>
  <si>
    <t>BUTAN</t>
  </si>
  <si>
    <t>CABO VERDE</t>
  </si>
  <si>
    <t>Eslovaquia</t>
  </si>
  <si>
    <t>CAMBOYA</t>
  </si>
  <si>
    <t>Estados Unidos</t>
  </si>
  <si>
    <t>CAMERUN</t>
  </si>
  <si>
    <t>CANADA</t>
  </si>
  <si>
    <t>Filipinas</t>
  </si>
  <si>
    <t>CHAD</t>
  </si>
  <si>
    <t>Finlandia</t>
  </si>
  <si>
    <t>GABON</t>
  </si>
  <si>
    <t>Francia</t>
  </si>
  <si>
    <t>GHANA</t>
  </si>
  <si>
    <t>CHIPRE</t>
  </si>
  <si>
    <t>Ghana</t>
  </si>
  <si>
    <t>Grecia</t>
  </si>
  <si>
    <t>CONGO</t>
  </si>
  <si>
    <t>Guatemala</t>
  </si>
  <si>
    <t>COREA DEL NORTE</t>
  </si>
  <si>
    <t>Guinea Ecuatorial</t>
  </si>
  <si>
    <t>COREA DEL SUR</t>
  </si>
  <si>
    <t>Honduras</t>
  </si>
  <si>
    <t>Hong Kong</t>
  </si>
  <si>
    <t>India</t>
  </si>
  <si>
    <t>Indonesia</t>
  </si>
  <si>
    <t>Irak</t>
  </si>
  <si>
    <t>Irlanda</t>
  </si>
  <si>
    <t>EMIRATOS ARABES UNIDOS</t>
  </si>
  <si>
    <t>EMIRATOS ÁRABES UNIDOS</t>
  </si>
  <si>
    <t>Israel</t>
  </si>
  <si>
    <t>ERITREA</t>
  </si>
  <si>
    <t>Italia</t>
  </si>
  <si>
    <t>Jamaica</t>
  </si>
  <si>
    <t>ESLOVENIA</t>
  </si>
  <si>
    <t>Jordania</t>
  </si>
  <si>
    <t>ESTONIA</t>
  </si>
  <si>
    <t>Kenia</t>
  </si>
  <si>
    <t>ETIOPÍA</t>
  </si>
  <si>
    <t>Kuwait</t>
  </si>
  <si>
    <t>Libia</t>
  </si>
  <si>
    <t>FIYI</t>
  </si>
  <si>
    <t>Luxemburgo</t>
  </si>
  <si>
    <t>Malasia</t>
  </si>
  <si>
    <t>GABÓN</t>
  </si>
  <si>
    <t>Malta</t>
  </si>
  <si>
    <t>GAMBIA</t>
  </si>
  <si>
    <t>Marruecos</t>
  </si>
  <si>
    <t>GEORGIA</t>
  </si>
  <si>
    <t>Mauritania</t>
  </si>
  <si>
    <t>Mozambique</t>
  </si>
  <si>
    <t>Nicaragua</t>
  </si>
  <si>
    <t>GUINEA</t>
  </si>
  <si>
    <t>Nigeria</t>
  </si>
  <si>
    <t>GUINEA BISAU</t>
  </si>
  <si>
    <t>Noruega</t>
  </si>
  <si>
    <t>Nueva Zelanda</t>
  </si>
  <si>
    <t>GUYANA</t>
  </si>
  <si>
    <t>HAITÍ</t>
  </si>
  <si>
    <t>HONG KONG</t>
  </si>
  <si>
    <t>Paraguay</t>
  </si>
  <si>
    <t>HUNGRÍA</t>
  </si>
  <si>
    <t>Polonia</t>
  </si>
  <si>
    <t>Portugal</t>
  </si>
  <si>
    <t>Reino Unido</t>
  </si>
  <si>
    <t>IRÁN</t>
  </si>
  <si>
    <t>Rumania</t>
  </si>
  <si>
    <t>ISLANDIA</t>
  </si>
  <si>
    <t>Rusia</t>
  </si>
  <si>
    <t>Senegal</t>
  </si>
  <si>
    <t>Singapur</t>
  </si>
  <si>
    <t>Siria</t>
  </si>
  <si>
    <t>Suecia</t>
  </si>
  <si>
    <t>KAZAJISTAN</t>
  </si>
  <si>
    <t>Suiza</t>
  </si>
  <si>
    <t>Tailandia</t>
  </si>
  <si>
    <t>KIRGUISTAN</t>
  </si>
  <si>
    <t>Tanzania</t>
  </si>
  <si>
    <t>LAOS</t>
  </si>
  <si>
    <t>LESOTHO</t>
  </si>
  <si>
    <t>LETONIA</t>
  </si>
  <si>
    <t>Uruguay</t>
  </si>
  <si>
    <t>LÍBANO</t>
  </si>
  <si>
    <t>Venezuela</t>
  </si>
  <si>
    <t>LIBERIA</t>
  </si>
  <si>
    <t>Yemen</t>
  </si>
  <si>
    <t>Yugoslavia</t>
  </si>
  <si>
    <t>LIECHTENSTEIN</t>
  </si>
  <si>
    <t>Zaire/Congo</t>
  </si>
  <si>
    <t>LITUANIA</t>
  </si>
  <si>
    <t>Zimbawe</t>
  </si>
  <si>
    <t>Resto del mundo</t>
  </si>
  <si>
    <t>MACEDONIA DEL NORTE</t>
  </si>
  <si>
    <t>MADAGASCAR</t>
  </si>
  <si>
    <t>ESPAÑA</t>
  </si>
  <si>
    <t>MALAWI</t>
  </si>
  <si>
    <t xml:space="preserve">Alojamiento </t>
  </si>
  <si>
    <t>PID 2022</t>
  </si>
  <si>
    <t>MALDIVAS</t>
  </si>
  <si>
    <t>1/2 manutención</t>
  </si>
  <si>
    <t>MALI</t>
  </si>
  <si>
    <t>&lt;30 DIAS POR DECRETO 4622 DE 24/05</t>
  </si>
  <si>
    <t>&gt;= 30 DIAS 1,200/MES</t>
  </si>
  <si>
    <t xml:space="preserve">50 EUROS /DIA </t>
  </si>
  <si>
    <t>MAURICIO</t>
  </si>
  <si>
    <t>EXTRANJERO</t>
  </si>
  <si>
    <t xml:space="preserve"> &lt;30 DIAS DECRETO 462/DE24/05</t>
  </si>
  <si>
    <t>MÉXICO</t>
  </si>
  <si>
    <t>&gt;= 30 DIAS 1,950EUROS/MES (65 EUROS/DIAS</t>
  </si>
  <si>
    <t>MOLDAVIA</t>
  </si>
  <si>
    <t>MONGOLIA</t>
  </si>
  <si>
    <t>MONTENEGRO</t>
  </si>
  <si>
    <t>MYANMAR</t>
  </si>
  <si>
    <t>NAMIBIA</t>
  </si>
  <si>
    <t>NEPAL</t>
  </si>
  <si>
    <t>NIGER</t>
  </si>
  <si>
    <t>OMAN</t>
  </si>
  <si>
    <t>PAÍSES BAJOS</t>
  </si>
  <si>
    <t>PAKISTÁN</t>
  </si>
  <si>
    <t>PANAMA</t>
  </si>
  <si>
    <t>PAPUA NUEVA GUINEA</t>
  </si>
  <si>
    <t>PERU</t>
  </si>
  <si>
    <t>PUERTO RICO</t>
  </si>
  <si>
    <t>QATAR</t>
  </si>
  <si>
    <t>REPUBLICA CENTROAFRICANA</t>
  </si>
  <si>
    <t>REPÚBLICA CHECA</t>
  </si>
  <si>
    <t>REPUBLICA DEMOCRÁTICA DEL CONGO</t>
  </si>
  <si>
    <t>REPÚBLICA DOMINICANA</t>
  </si>
  <si>
    <t>RUANDA</t>
  </si>
  <si>
    <t>SAMOA</t>
  </si>
  <si>
    <t>SERBIA</t>
  </si>
  <si>
    <t>SIERRA LEONA</t>
  </si>
  <si>
    <t>SOMALIA</t>
  </si>
  <si>
    <t>SRI LANKA</t>
  </si>
  <si>
    <t>SUAZILANDIA</t>
  </si>
  <si>
    <t>SUDÁFRICA</t>
  </si>
  <si>
    <t>SUDAN</t>
  </si>
  <si>
    <t>SUDAN DEL SUR</t>
  </si>
  <si>
    <t>SURINAM</t>
  </si>
  <si>
    <t>TAJIKISTAN</t>
  </si>
  <si>
    <t>TIMOR ORIENTAL</t>
  </si>
  <si>
    <t>TOGO</t>
  </si>
  <si>
    <t>TONGA</t>
  </si>
  <si>
    <t>TRINIDAD Y TOBAGO</t>
  </si>
  <si>
    <t>TÚNEZ</t>
  </si>
  <si>
    <t>TURKMENISTAN</t>
  </si>
  <si>
    <t>TURQUIA</t>
  </si>
  <si>
    <t>UCRANIA</t>
  </si>
  <si>
    <t>UGANDA</t>
  </si>
  <si>
    <t>UZBEKISTAN</t>
  </si>
  <si>
    <t>VIETNAM</t>
  </si>
  <si>
    <t>YIBUTI</t>
  </si>
  <si>
    <t>ZAIRE</t>
  </si>
  <si>
    <t>ZAMBIA</t>
  </si>
  <si>
    <t xml:space="preserve">Instrucción 2025, de la Gerencia de la US </t>
  </si>
  <si>
    <t>MADRID/BARCELONA</t>
  </si>
  <si>
    <t xml:space="preserve">RESTO ESPAÑA </t>
  </si>
  <si>
    <t>Alojamiento</t>
  </si>
  <si>
    <t>Manutencion completa</t>
  </si>
  <si>
    <t>Manut. Sin pernoctar</t>
  </si>
  <si>
    <t>Media Manuteción</t>
  </si>
  <si>
    <t>PAÍS</t>
  </si>
  <si>
    <t>ZONA</t>
  </si>
  <si>
    <t>IMPORTE ALOJAMIENTO (€)</t>
  </si>
  <si>
    <t>IMPORTE MANUTENCIÓN PERNOCTANDO (€)</t>
  </si>
  <si>
    <t>MANUTENCIÓN SIN PERNOCTAR (MADRID) (€)</t>
  </si>
  <si>
    <t>MEDIA MANUTENCIÓN (MADRID) (€)</t>
  </si>
  <si>
    <t>MEDIA DEL PAIS EXTRNANJERO</t>
  </si>
  <si>
    <t>ALOJAMIENTO (€)</t>
  </si>
  <si>
    <r>
      <rPr>
        <b/>
        <sz val="9"/>
        <rFont val="Calibri"/>
        <family val="2"/>
      </rPr>
      <t>MANUTENCIÓN PERNOCTANDO</t>
    </r>
    <r>
      <rPr>
        <b/>
        <sz val="11"/>
        <rFont val="Calibri"/>
        <family val="2"/>
      </rPr>
      <t xml:space="preserve"> </t>
    </r>
  </si>
  <si>
    <t xml:space="preserve">MANUTENCIÓN SIN PERNOCTAR </t>
  </si>
  <si>
    <t xml:space="preserve">MEDIA MANUTENCIÓN </t>
  </si>
  <si>
    <t>ZONAS</t>
  </si>
  <si>
    <t>COMPLETA</t>
  </si>
  <si>
    <t>SIN PERNOCATAR</t>
  </si>
  <si>
    <t>NACIONAL</t>
  </si>
  <si>
    <t>ZONA D</t>
  </si>
  <si>
    <t>MADRID</t>
  </si>
  <si>
    <t>ZONA C</t>
  </si>
  <si>
    <t>HORAS</t>
  </si>
  <si>
    <t>ZONA A</t>
  </si>
  <si>
    <r>
      <t>Calcula el tipo de manutención automáticamente</t>
    </r>
    <r>
      <rPr>
        <sz val="11"/>
        <color theme="1"/>
        <rFont val="Calibri"/>
        <family val="2"/>
        <scheme val="minor"/>
      </rPr>
      <t xml:space="preserve"> según el </t>
    </r>
    <r>
      <rPr>
        <b/>
        <sz val="11"/>
        <color theme="1"/>
        <rFont val="Calibri"/>
        <family val="2"/>
        <scheme val="minor"/>
      </rPr>
      <t>Art. 9</t>
    </r>
    <r>
      <rPr>
        <sz val="11"/>
        <color theme="1"/>
        <rFont val="Calibri"/>
        <family val="2"/>
        <scheme val="minor"/>
      </rPr>
      <t xml:space="preserve"> del documento “DEVENGO DE DIETAS.pdf”:</t>
    </r>
  </si>
  <si>
    <r>
      <rPr>
        <b/>
        <sz val="11"/>
        <color theme="1"/>
        <rFont val="Calibri"/>
        <family val="2"/>
        <scheme val="minor"/>
      </rPr>
      <t>SIN MANUTENCIÓN:</t>
    </r>
    <r>
      <rPr>
        <sz val="11"/>
        <rFont val="Calibri"/>
        <family val="2"/>
        <scheme val="minor"/>
      </rPr>
      <t xml:space="preserve"> cuando la comisión no obliga a realizar ninguna de las dos comidas principales fuera de la residencia (Art. 9.a)</t>
    </r>
  </si>
  <si>
    <r>
      <rPr>
        <b/>
        <sz val="11"/>
        <color theme="1"/>
        <rFont val="Calibri"/>
        <family val="2"/>
        <scheme val="minor"/>
      </rPr>
      <t>MEDIA MANUTENCIÓN (ALMUERZO)</t>
    </r>
    <r>
      <rPr>
        <sz val="11"/>
        <rFont val="Calibri"/>
        <family val="2"/>
        <scheme val="minor"/>
      </rPr>
      <t>: si comienza antes de 15:00 y termina entre 15:00 y 21:00 (Art. 9.b)</t>
    </r>
  </si>
  <si>
    <t>ZONA B</t>
  </si>
  <si>
    <r>
      <t>MEDIA MANUTENCIÓN (CENA)</t>
    </r>
    <r>
      <rPr>
        <sz val="11"/>
        <color theme="1"/>
        <rFont val="Calibri"/>
        <family val="2"/>
        <scheme val="minor"/>
      </rPr>
      <t xml:space="preserve">: si </t>
    </r>
    <r>
      <rPr>
        <b/>
        <sz val="11"/>
        <color theme="1"/>
        <rFont val="Calibri"/>
        <family val="2"/>
        <scheme val="minor"/>
      </rPr>
      <t>comienza a partir de 15:30</t>
    </r>
    <r>
      <rPr>
        <sz val="11"/>
        <color theme="1"/>
        <rFont val="Calibri"/>
        <family val="2"/>
        <scheme val="minor"/>
      </rPr>
      <t xml:space="preserve"> y </t>
    </r>
    <r>
      <rPr>
        <b/>
        <sz val="11"/>
        <color theme="1"/>
        <rFont val="Calibri"/>
        <family val="2"/>
        <scheme val="minor"/>
      </rPr>
      <t>termina después de 21:00</t>
    </r>
    <r>
      <rPr>
        <sz val="11"/>
        <color theme="1"/>
        <rFont val="Calibri"/>
        <family val="2"/>
        <scheme val="minor"/>
      </rPr>
      <t xml:space="preserve"> (Art. 9.b).</t>
    </r>
  </si>
  <si>
    <r>
      <t>MANUTENCIÓN COMPLETA</t>
    </r>
    <r>
      <rPr>
        <sz val="11"/>
        <color theme="1"/>
        <rFont val="Calibri"/>
        <family val="2"/>
        <scheme val="minor"/>
      </rPr>
      <t xml:space="preserve">: si </t>
    </r>
    <r>
      <rPr>
        <b/>
        <sz val="11"/>
        <color theme="1"/>
        <rFont val="Calibri"/>
        <family val="2"/>
        <scheme val="minor"/>
      </rPr>
      <t>comienza antes de 15:00</t>
    </r>
    <r>
      <rPr>
        <sz val="11"/>
        <color theme="1"/>
        <rFont val="Calibri"/>
        <family val="2"/>
        <scheme val="minor"/>
      </rPr>
      <t xml:space="preserve"> y </t>
    </r>
    <r>
      <rPr>
        <b/>
        <sz val="11"/>
        <color theme="1"/>
        <rFont val="Calibri"/>
        <family val="2"/>
        <scheme val="minor"/>
      </rPr>
      <t>termina después de 21:00</t>
    </r>
    <r>
      <rPr>
        <sz val="11"/>
        <color theme="1"/>
        <rFont val="Calibri"/>
        <family val="2"/>
        <scheme val="minor"/>
      </rPr>
      <t xml:space="preserve"> (Art. 9.c).</t>
    </r>
  </si>
  <si>
    <t>Según el Decreto sobre indemnizaciones por razón del servicio de la Junta de Andalucía, la manutención sin pernoctar se devenga en los siguientes casos:</t>
  </si>
  <si>
    <t>Concepto: Es la dieta que cubre los gastos de comida cuando la comisión de servicio no implica pernoctar fuera de la residencia habitual, pero sí obliga a realizar las dos comidas principales del día (almuerzo y cena) fuera de dicha residencia.</t>
  </si>
  <si>
    <r>
      <t>Condición temporal</t>
    </r>
    <r>
      <rPr>
        <sz val="12"/>
        <rFont val="Aptos"/>
        <family val="2"/>
      </rPr>
      <t>:</t>
    </r>
  </si>
  <si>
    <r>
      <t xml:space="preserve">Se entiende que la comisión obliga a realizar </t>
    </r>
    <r>
      <rPr>
        <b/>
        <sz val="12"/>
        <rFont val="Aptos"/>
        <family val="2"/>
      </rPr>
      <t>almuerzo y cena fuera</t>
    </r>
    <r>
      <rPr>
        <sz val="12"/>
        <rFont val="Aptos"/>
        <family val="2"/>
      </rPr>
      <t xml:space="preserve"> cuando </t>
    </r>
    <r>
      <rPr>
        <b/>
        <sz val="12"/>
        <rFont val="Aptos"/>
        <family val="2"/>
      </rPr>
      <t>comienza antes de las 15:00 horas y termina después de las 21:00 horas</t>
    </r>
    <r>
      <rPr>
        <sz val="12"/>
        <rFont val="Aptos"/>
        <family val="2"/>
      </rPr>
      <t>.</t>
    </r>
  </si>
  <si>
    <r>
      <t>Cuantía</t>
    </r>
    <r>
      <rPr>
        <sz val="12"/>
        <rFont val="Aptos"/>
        <family val="2"/>
      </rPr>
      <t>:</t>
    </r>
  </si>
  <si>
    <r>
      <t xml:space="preserve">En territorio nacional: </t>
    </r>
    <r>
      <rPr>
        <b/>
        <sz val="12"/>
        <rFont val="Aptos"/>
        <family val="2"/>
      </rPr>
      <t>26,67 €</t>
    </r>
    <r>
      <rPr>
        <sz val="12"/>
        <rFont val="Aptos"/>
        <family val="2"/>
      </rPr>
      <t>.</t>
    </r>
  </si>
  <si>
    <r>
      <t xml:space="preserve">En Madrid: </t>
    </r>
    <r>
      <rPr>
        <b/>
        <sz val="12"/>
        <rFont val="Aptos"/>
        <family val="2"/>
      </rPr>
      <t>26,67 €</t>
    </r>
    <r>
      <rPr>
        <sz val="12"/>
        <rFont val="Aptos"/>
        <family val="2"/>
      </rPr>
      <t xml:space="preserve"> (igual que en el resto del territorio nacional).</t>
    </r>
  </si>
  <si>
    <t>C2 = R29 ANTES O DESPUES DEL 30/06 BUSCAR EN CELESTE</t>
  </si>
  <si>
    <t xml:space="preserve">C2= JUNTA NUEVO </t>
  </si>
  <si>
    <t>ZONAD</t>
  </si>
  <si>
    <t>ZONAB</t>
  </si>
  <si>
    <t>***</t>
  </si>
  <si>
    <t>REPUBLICA DEMOCRATICA DEL CONGO</t>
  </si>
  <si>
    <t>XXX</t>
  </si>
  <si>
    <t>BOLSA ESPAÑA</t>
  </si>
  <si>
    <t xml:space="preserve">alojamiento  Nacional </t>
  </si>
  <si>
    <t>alojamiento Madrid/barcelons</t>
  </si>
  <si>
    <t>Man.com Nacionl</t>
  </si>
  <si>
    <t>Manu. Com M/B</t>
  </si>
  <si>
    <t>1/2 Manu M/B</t>
  </si>
  <si>
    <t xml:space="preserve">1/2 Manu Nacional </t>
  </si>
  <si>
    <t>Manu. Sin pernoctar</t>
  </si>
  <si>
    <t>alojamiento</t>
  </si>
  <si>
    <t>VARIOS DIAS</t>
  </si>
  <si>
    <t/>
  </si>
  <si>
    <t>ESPAÑA IDA</t>
  </si>
  <si>
    <t>Junta y US</t>
  </si>
  <si>
    <t>SALIDA</t>
  </si>
  <si>
    <t>&lt;14:00</t>
  </si>
  <si>
    <t>&gt;=14:00 Y &lt;22:00</t>
  </si>
  <si>
    <t>&gt;22:00</t>
  </si>
  <si>
    <t>No corresponde manutención</t>
  </si>
  <si>
    <t xml:space="preserve">DIAS INTERMEDIOS </t>
  </si>
  <si>
    <t>REGRESO</t>
  </si>
  <si>
    <t>&lt;15:00</t>
  </si>
  <si>
    <t>&gt;15:00 Y &lt; =22:00</t>
  </si>
  <si>
    <t>¿Aporta factura de cena?</t>
  </si>
  <si>
    <t xml:space="preserve">Manutención sin pernoctar </t>
  </si>
  <si>
    <t>FECHA DE REGRESO</t>
  </si>
  <si>
    <t>NACIONAL SALIDA</t>
  </si>
  <si>
    <t>NACIONAL REGRESO</t>
  </si>
  <si>
    <t>1 PAIS EXTRANJERO</t>
  </si>
  <si>
    <t>2 PAIS EXTRANJERO</t>
  </si>
  <si>
    <t>3 PAIS EXTRANJERO</t>
  </si>
  <si>
    <t>TOTA LLOCOMOCION</t>
  </si>
  <si>
    <t>TOTAL LOCOMOCION</t>
  </si>
  <si>
    <t>1/2 manutención el extranjero</t>
  </si>
  <si>
    <t>&gt;24:00</t>
  </si>
  <si>
    <t xml:space="preserve">fecha fin del viaje a casa </t>
  </si>
  <si>
    <t>fecha salida extranjero</t>
  </si>
  <si>
    <t>hora de casa</t>
  </si>
  <si>
    <t>hora salida extrajero</t>
  </si>
  <si>
    <t>resultado</t>
  </si>
  <si>
    <t>TOTAL</t>
  </si>
  <si>
    <t>Inscripcion + otros gastos</t>
  </si>
  <si>
    <t>&gt;14:00 y &lt;22:00</t>
  </si>
  <si>
    <t>1º PAIS</t>
  </si>
  <si>
    <t>&gt;22:00 Y&lt;24:00</t>
  </si>
  <si>
    <t>Manutención completa  cena</t>
  </si>
  <si>
    <t>2º PAIS</t>
  </si>
  <si>
    <t>3º PAIS</t>
  </si>
  <si>
    <t>j</t>
  </si>
  <si>
    <t>K</t>
  </si>
  <si>
    <t>M</t>
  </si>
  <si>
    <t>N</t>
  </si>
  <si>
    <t>O</t>
  </si>
  <si>
    <t>ESPAÑA REGRESO</t>
  </si>
  <si>
    <t>decreto</t>
  </si>
  <si>
    <t>factura</t>
  </si>
  <si>
    <t>supera</t>
  </si>
  <si>
    <t>&gt;=14:00 Y &lt;=22:00</t>
  </si>
  <si>
    <t>DIETAS</t>
  </si>
  <si>
    <t>dietas</t>
  </si>
  <si>
    <t>&gt;=14:00 y &lt;=22:00</t>
  </si>
  <si>
    <t>SUPERA</t>
  </si>
  <si>
    <t>alojamientos</t>
  </si>
  <si>
    <t xml:space="preserve">TOTAL </t>
  </si>
  <si>
    <t>1/2 Manut</t>
  </si>
  <si>
    <t>UN DÍA</t>
  </si>
  <si>
    <t>UN DIA</t>
  </si>
  <si>
    <t>&gt;14:00 Y &lt;22:00</t>
  </si>
  <si>
    <t xml:space="preserve">ESPAÑA IDA </t>
  </si>
  <si>
    <t xml:space="preserve">&lt;14:00 </t>
  </si>
  <si>
    <t>&lt;14:00 y &gt; 15:00 y &gt;22:00</t>
  </si>
  <si>
    <t>&gt;14:00&gt;22:00</t>
  </si>
  <si>
    <t>1º PAIS EXTRANJERO</t>
  </si>
  <si>
    <t xml:space="preserve">decreto </t>
  </si>
  <si>
    <t>1/2 Manut.</t>
  </si>
  <si>
    <t xml:space="preserve">alojamiento </t>
  </si>
  <si>
    <t>2º PAIS EXTRANJERO</t>
  </si>
  <si>
    <t>Manutención</t>
  </si>
  <si>
    <t>locomoción</t>
  </si>
  <si>
    <t>3º PAIS EXTRANJERO</t>
  </si>
  <si>
    <t xml:space="preserve">En aplicación del principio de transparencia y lealtad regulado en el Reglamento General de Protección de datos RGPD UE 2016/679 se le informa que la Universidad de Sevilla es responsable del presente tratamiento, “Gestión de la Investigación” que tiene como finalidad la “Gestión Económico, administrativa, técnica y académica de la investigación en la US”.  El tratamiento es necesario para la ejecución de un contrato en el que el interesado es parte; para el cumplimiento de una obligación legal, el cumplimiento de una misión de interés público o en el ejercicio de poderes públicos conferidos a la US. Asimismo, y en su caso, se legitima con el consentimiento del interesado. De acuerdo con las citadas normas, tiene derecho a acceder, rectificar y suprimir sus datos personales, así como a otros derechos que puede consultar, junto a una información adicional más detallada, en el enlace  </t>
  </si>
  <si>
    <t>Información sobre protección de datos</t>
  </si>
  <si>
    <t>VOLVER AL FORMULARIO</t>
  </si>
  <si>
    <t>&gt;15:00 y &gt;21:00 Y antes 24:00</t>
  </si>
  <si>
    <t>&gt;21:00</t>
  </si>
  <si>
    <t>&gt;15:00 Y &lt; =21:00</t>
  </si>
  <si>
    <t>R. DECRETO DEL MINISTERIO</t>
  </si>
  <si>
    <t xml:space="preserve">DESGLOSE DE LA LIQUIDACIÓN </t>
  </si>
  <si>
    <t>DESGLOSE DE LA RENUNCIA</t>
  </si>
  <si>
    <t>A PERCIBIR</t>
  </si>
  <si>
    <t>Territorio Nacional :</t>
  </si>
  <si>
    <t>Renuncia a:</t>
  </si>
  <si>
    <t>Manutención:</t>
  </si>
  <si>
    <t>Alojamiento:</t>
  </si>
  <si>
    <t>1º País extranjero</t>
  </si>
  <si>
    <t>2º País extranjero</t>
  </si>
  <si>
    <t>3º País extranjero</t>
  </si>
  <si>
    <t>Territorio Nacional  Regreso:</t>
  </si>
  <si>
    <t>Locomoción:</t>
  </si>
  <si>
    <t>Inscripcion.</t>
  </si>
  <si>
    <t>TOTAL SIN RENUNCIA</t>
  </si>
  <si>
    <t xml:space="preserve">TOTAL A PERCIBIR </t>
  </si>
  <si>
    <t>Desglose</t>
  </si>
  <si>
    <t xml:space="preserve">Alojamiento: </t>
  </si>
  <si>
    <t>Inscripción:</t>
  </si>
  <si>
    <t>otros gastos</t>
  </si>
  <si>
    <t>"GUARDE ESTA HOJA EN PDF Y ADJÚNTELA CON LA LIQUIDACIÓN UNA VEZ FIRMADA POR PORTAFIRMAS"</t>
  </si>
  <si>
    <t xml:space="preserve">VOLVER AL FORMULARIO </t>
  </si>
  <si>
    <t>HORA INICIO</t>
  </si>
  <si>
    <t>HORA FIN</t>
  </si>
  <si>
    <t>¿TRANSPORTE COLECTIVO? (Sí/No)</t>
  </si>
  <si>
    <t>HORA SALIDA (billete)</t>
  </si>
  <si>
    <t>HORA LLEGADA (prevista)</t>
  </si>
  <si>
    <t>INICIO EFECTIVO</t>
  </si>
  <si>
    <t>FIN EFECTIVO</t>
  </si>
  <si>
    <t>TIPO DE MANUTENCIÓN</t>
  </si>
  <si>
    <t>NOTA</t>
  </si>
  <si>
    <r>
      <t>Calcula el tipo de manutención automáticamente</t>
    </r>
    <r>
      <rPr>
        <sz val="8"/>
        <color theme="1"/>
        <rFont val="Segoe UI"/>
        <family val="2"/>
      </rPr>
      <t xml:space="preserve"> según el </t>
    </r>
    <r>
      <rPr>
        <b/>
        <sz val="8"/>
        <color theme="1"/>
        <rFont val="Segoe UI"/>
        <family val="2"/>
      </rPr>
      <t>Art. 9</t>
    </r>
    <r>
      <rPr>
        <sz val="8"/>
        <color theme="1"/>
        <rFont val="Segoe UI"/>
        <family val="2"/>
      </rPr>
      <t xml:space="preserve"> del documento “DEVENGO DE DIETAS.pdf”:</t>
    </r>
  </si>
  <si>
    <r>
      <rPr>
        <b/>
        <sz val="11"/>
        <color theme="1"/>
        <rFont val="Calibri"/>
        <family val="2"/>
        <scheme val="minor"/>
      </rPr>
      <t>SIN MANUTENCIÓN:</t>
    </r>
    <r>
      <rPr>
        <sz val="10"/>
        <rFont val="Arial"/>
        <family val="2"/>
      </rPr>
      <t xml:space="preserve"> cuando la comisión no obliga a realizar ninguna de las dos comidas principales fuera de la residencia (Art. 9.a). [fr-prod.as...rosoft.com]</t>
    </r>
  </si>
  <si>
    <r>
      <rPr>
        <b/>
        <sz val="11"/>
        <color theme="1"/>
        <rFont val="Calibri"/>
        <family val="2"/>
        <scheme val="minor"/>
      </rPr>
      <t>MEDIA MANUTENCIÓN (ALMUERZO)</t>
    </r>
    <r>
      <rPr>
        <sz val="10"/>
        <rFont val="Arial"/>
        <family val="2"/>
      </rPr>
      <t>: si comienza antes de 15:00 y termina entre 15:00 y 21:00 (Art. 9.b). [fr-prod.as...rosoft.com]</t>
    </r>
  </si>
  <si>
    <r>
      <t>MEDIA MANUTENCIÓN (CENA)</t>
    </r>
    <r>
      <rPr>
        <sz val="8"/>
        <color theme="1"/>
        <rFont val="Segoe UI"/>
        <family val="2"/>
      </rPr>
      <t xml:space="preserve">: si </t>
    </r>
    <r>
      <rPr>
        <b/>
        <sz val="8"/>
        <color theme="1"/>
        <rFont val="Segoe UI"/>
        <family val="2"/>
      </rPr>
      <t>comienza a partir de 15:30</t>
    </r>
    <r>
      <rPr>
        <sz val="8"/>
        <color theme="1"/>
        <rFont val="Segoe UI"/>
        <family val="2"/>
      </rPr>
      <t xml:space="preserve"> y </t>
    </r>
    <r>
      <rPr>
        <b/>
        <sz val="8"/>
        <color theme="1"/>
        <rFont val="Segoe UI"/>
        <family val="2"/>
      </rPr>
      <t>termina después de 21:00</t>
    </r>
    <r>
      <rPr>
        <sz val="8"/>
        <color theme="1"/>
        <rFont val="Segoe UI"/>
        <family val="2"/>
      </rPr>
      <t xml:space="preserve"> (Art. 9.b).</t>
    </r>
  </si>
  <si>
    <r>
      <t>MANUTENCIÓN COMPLETA</t>
    </r>
    <r>
      <rPr>
        <sz val="8"/>
        <color theme="1"/>
        <rFont val="Segoe UI"/>
        <family val="2"/>
      </rPr>
      <t xml:space="preserve">: si </t>
    </r>
    <r>
      <rPr>
        <b/>
        <sz val="8"/>
        <color theme="1"/>
        <rFont val="Segoe UI"/>
        <family val="2"/>
      </rPr>
      <t>comienza antes de 15:00</t>
    </r>
    <r>
      <rPr>
        <sz val="8"/>
        <color theme="1"/>
        <rFont val="Segoe UI"/>
        <family val="2"/>
      </rPr>
      <t xml:space="preserve"> y </t>
    </r>
    <r>
      <rPr>
        <b/>
        <sz val="8"/>
        <color theme="1"/>
        <rFont val="Segoe UI"/>
        <family val="2"/>
      </rPr>
      <t>termina después de 21:00</t>
    </r>
    <r>
      <rPr>
        <sz val="8"/>
        <color theme="1"/>
        <rFont val="Segoe UI"/>
        <family val="2"/>
      </rPr>
      <t xml:space="preserve"> (Art. 9.c).</t>
    </r>
  </si>
  <si>
    <t>comienza antes de 15:00 y termina entre 15:00 y 21:00 media manutencion (almuerzo) (arti 9,b)</t>
  </si>
  <si>
    <t>comienza antes de 15:00 y termina después de 21:00 manutención completa  (arti 9,b)</t>
  </si>
  <si>
    <t>comienza 15:00 y termina 22:00 sin manutencion  No obliga a realizar comidas principales fuera (art. 9,a)</t>
  </si>
  <si>
    <t>comienza 15:00 y termina 21:00 sin manutencion  No obliga a realizar comidas principales fuera (art. 9,a)</t>
  </si>
  <si>
    <t>comienza 14:59 y termina 20:59 ( termina entre las 15:00y 21:00 (art.9,b)  media manutención (almerzo)</t>
  </si>
  <si>
    <t>comienza 15:15 y termina 22: SIN MANUTENCIÓN , NO OLBIGA A REALIZAR COMODAS PRINCIPALES FUERA (ART.9.a)</t>
  </si>
  <si>
    <r>
      <t xml:space="preserve">Según el </t>
    </r>
    <r>
      <rPr>
        <b/>
        <sz val="12"/>
        <color theme="1"/>
        <rFont val="Aptos"/>
        <family val="2"/>
      </rPr>
      <t>Decreto sobre indemnizaciones por razón del servicio de la Junta de Andalucía</t>
    </r>
    <r>
      <rPr>
        <sz val="12"/>
        <color theme="1"/>
        <rFont val="Aptos"/>
        <family val="2"/>
      </rPr>
      <t xml:space="preserve">, la </t>
    </r>
    <r>
      <rPr>
        <b/>
        <sz val="12"/>
        <color theme="1"/>
        <rFont val="Aptos"/>
        <family val="2"/>
      </rPr>
      <t>manutención sin pernoctar</t>
    </r>
    <r>
      <rPr>
        <sz val="12"/>
        <color theme="1"/>
        <rFont val="Aptos"/>
        <family val="2"/>
      </rPr>
      <t xml:space="preserve"> se devenga en los siguientes casos:</t>
    </r>
  </si>
  <si>
    <r>
      <t>Concepto</t>
    </r>
    <r>
      <rPr>
        <sz val="12"/>
        <color theme="1"/>
        <rFont val="Aptos"/>
        <family val="2"/>
      </rPr>
      <t xml:space="preserve">: Es la dieta que cubre los gastos de comida cuando la comisión de servicio </t>
    </r>
    <r>
      <rPr>
        <b/>
        <sz val="12"/>
        <color theme="1"/>
        <rFont val="Aptos"/>
        <family val="2"/>
      </rPr>
      <t>no implica pernoctar fuera de la residencia habitual</t>
    </r>
    <r>
      <rPr>
        <sz val="12"/>
        <color theme="1"/>
        <rFont val="Aptos"/>
        <family val="2"/>
      </rPr>
      <t xml:space="preserve">, pero sí obliga a realizar </t>
    </r>
    <r>
      <rPr>
        <b/>
        <sz val="12"/>
        <color theme="1"/>
        <rFont val="Aptos"/>
        <family val="2"/>
      </rPr>
      <t>las dos comidas principales del día (almuerzo y cena)</t>
    </r>
    <r>
      <rPr>
        <sz val="12"/>
        <color theme="1"/>
        <rFont val="Aptos"/>
        <family val="2"/>
      </rPr>
      <t xml:space="preserve"> fuera de dicha residencia.</t>
    </r>
  </si>
  <si>
    <r>
      <t>Condición temporal</t>
    </r>
    <r>
      <rPr>
        <sz val="12"/>
        <color theme="1"/>
        <rFont val="Aptos"/>
        <family val="2"/>
      </rPr>
      <t>:</t>
    </r>
  </si>
  <si>
    <r>
      <t xml:space="preserve">Se entiende que la comisión obliga a realizar </t>
    </r>
    <r>
      <rPr>
        <b/>
        <sz val="12"/>
        <color theme="1"/>
        <rFont val="Aptos"/>
        <family val="2"/>
      </rPr>
      <t>almuerzo y cena fuera</t>
    </r>
    <r>
      <rPr>
        <sz val="12"/>
        <color theme="1"/>
        <rFont val="Aptos"/>
        <family val="2"/>
      </rPr>
      <t xml:space="preserve"> cuando </t>
    </r>
    <r>
      <rPr>
        <b/>
        <sz val="12"/>
        <color theme="1"/>
        <rFont val="Aptos"/>
        <family val="2"/>
      </rPr>
      <t>comienza antes de las 15:00 horas y termina después de las 21:00 horas</t>
    </r>
    <r>
      <rPr>
        <sz val="12"/>
        <color theme="1"/>
        <rFont val="Aptos"/>
        <family val="2"/>
      </rPr>
      <t>.</t>
    </r>
  </si>
  <si>
    <r>
      <t>Cuantía</t>
    </r>
    <r>
      <rPr>
        <sz val="12"/>
        <color theme="1"/>
        <rFont val="Aptos"/>
        <family val="2"/>
      </rPr>
      <t>:</t>
    </r>
  </si>
  <si>
    <r>
      <t xml:space="preserve">En territorio nacional: </t>
    </r>
    <r>
      <rPr>
        <b/>
        <sz val="12"/>
        <color theme="1"/>
        <rFont val="Aptos"/>
        <family val="2"/>
      </rPr>
      <t>26,67 €</t>
    </r>
    <r>
      <rPr>
        <sz val="12"/>
        <color theme="1"/>
        <rFont val="Aptos"/>
        <family val="2"/>
      </rPr>
      <t>.</t>
    </r>
  </si>
  <si>
    <r>
      <t xml:space="preserve">En Madrid: </t>
    </r>
    <r>
      <rPr>
        <b/>
        <sz val="12"/>
        <color theme="1"/>
        <rFont val="Aptos"/>
        <family val="2"/>
      </rPr>
      <t>26,67 €</t>
    </r>
    <r>
      <rPr>
        <sz val="12"/>
        <color theme="1"/>
        <rFont val="Aptos"/>
        <family val="2"/>
      </rPr>
      <t xml:space="preserve"> (igual que en el resto del territorio nacional).</t>
    </r>
  </si>
  <si>
    <t>AYUDA DEL FORMULARIO DE LIQUIDACION</t>
  </si>
  <si>
    <t>1. DATOS DEL SOLICITANTE.</t>
  </si>
  <si>
    <t>2. DATOS DEL PROYECTO / PARA EL PROYECTO.</t>
  </si>
  <si>
    <t>3. GASTOS DE LOCOMOCIÓN / INSCRIPCIÓN / OTROS.</t>
  </si>
  <si>
    <t>4.a. DIETAS EN TERRITORIO NACIONAL O TRÁNSITO PARA LA SALIDA.</t>
  </si>
  <si>
    <t xml:space="preserve">4.b. DIETAS EN EL PRIMER PAÍS EXTRANJERO O ÚNICO. </t>
  </si>
  <si>
    <r>
      <t xml:space="preserve">4.c. VIAJE EN TRÁNSITO DE REGRESO DIETAS EN TERRITORIO NACIONAL </t>
    </r>
    <r>
      <rPr>
        <b/>
        <sz val="10"/>
        <rFont val="Arial"/>
        <family val="2"/>
      </rPr>
      <t>(en su caso)</t>
    </r>
    <r>
      <rPr>
        <sz val="10"/>
        <rFont val="Arial"/>
        <family val="2"/>
      </rPr>
      <t>.</t>
    </r>
  </si>
  <si>
    <r>
      <t xml:space="preserve">4.d. SEGUNDO PAÍS EXTRANJERO </t>
    </r>
    <r>
      <rPr>
        <b/>
        <sz val="10"/>
        <rFont val="Arial"/>
        <family val="2"/>
      </rPr>
      <t>(viajes secuenciales a distintos países).</t>
    </r>
  </si>
  <si>
    <r>
      <t xml:space="preserve">4.e. TERCER  PAÍS EXTRANJERO </t>
    </r>
    <r>
      <rPr>
        <b/>
        <sz val="10"/>
        <rFont val="Arial"/>
        <family val="2"/>
      </rPr>
      <t>(viajes secuenciales a distintos países).</t>
    </r>
  </si>
  <si>
    <r>
      <t>0. CUADRO DE AVISO</t>
    </r>
    <r>
      <rPr>
        <b/>
        <sz val="10"/>
        <rFont val="Arial"/>
        <family val="2"/>
      </rPr>
      <t xml:space="preserve"> (De la fila 3 a la 8 del formulario,  indica la información pendiente de completar para garantizar la correcta liquidación).</t>
    </r>
  </si>
  <si>
    <r>
      <t xml:space="preserve">Los gastos de las tasas de alojamiento se tienen que indicar en OTROS GASTOS, </t>
    </r>
    <r>
      <rPr>
        <b/>
        <i/>
        <sz val="11"/>
        <rFont val="Arial"/>
        <family val="2"/>
      </rPr>
      <t>celda  C49</t>
    </r>
  </si>
  <si>
    <t>En caso de que no se desee percibir la manutención pero sí los gastos de locomoción, inscripción o cursos, responda a la pregunta “¿Desea renunciar a la manutención?” seleccionando la opción correspondiente en cada cuadro.</t>
  </si>
  <si>
    <r>
      <t xml:space="preserve">Si en el formulario se menciona la expresión </t>
    </r>
    <r>
      <rPr>
        <b/>
        <i/>
        <sz val="10"/>
        <rFont val="Arial"/>
        <family val="2"/>
      </rPr>
      <t xml:space="preserve">'hora de salida del extranjero', </t>
    </r>
    <r>
      <rPr>
        <sz val="10"/>
        <rFont val="Arial"/>
        <family val="2"/>
      </rPr>
      <t>esta deberá entenderse como el momento en que el viajero abandona el país en cuestión. Por otro lado,</t>
    </r>
    <r>
      <rPr>
        <b/>
        <i/>
        <sz val="10"/>
        <rFont val="Arial"/>
        <family val="2"/>
      </rPr>
      <t xml:space="preserve"> en viajes secuenciales la fecha y hora fin del viaje </t>
    </r>
    <r>
      <rPr>
        <sz val="10"/>
        <rFont val="Arial"/>
        <family val="2"/>
      </rPr>
      <t>corresponde al instante en que abandona el país extranjero o regresa al lugar de residencia del último país extranjero.</t>
    </r>
  </si>
  <si>
    <r>
      <t>El apartado</t>
    </r>
    <r>
      <rPr>
        <b/>
        <sz val="10"/>
        <rFont val="Arial"/>
        <family val="2"/>
      </rPr>
      <t xml:space="preserve"> “Viajes en tránsito de regreso”</t>
    </r>
    <r>
      <rPr>
        <sz val="10"/>
        <rFont val="Arial"/>
        <family val="2"/>
      </rPr>
      <t xml:space="preserve"> solo se rellenará en caso de que, se haya incurrido en gastos de alojamiento dentro del territorio nacional tras un desplazamiento internacional.  </t>
    </r>
  </si>
  <si>
    <t>Los gastos de alojamiento correspondientes al trayecto de salida deberán consignarse, en cambio, en la sección  DIETAS EN TERRITORIO NACIONAL O TRÁNSITO PARA LA SALIDA</t>
  </si>
  <si>
    <r>
      <t>Si el desplazamiento incluye</t>
    </r>
    <r>
      <rPr>
        <b/>
        <sz val="10"/>
        <rFont val="Arial"/>
        <family val="2"/>
      </rPr>
      <t xml:space="preserve"> viajes secuenciales a distintos países, </t>
    </r>
    <r>
      <rPr>
        <sz val="10"/>
        <rFont val="Arial"/>
        <family val="2"/>
      </rPr>
      <t>se debe cumplimentar en el orden siguiente: primero el primer país extranjero, después el segundo, y por último el tercero.</t>
    </r>
  </si>
  <si>
    <r>
      <rPr>
        <b/>
        <sz val="10"/>
        <rFont val="Aptos"/>
        <family val="2"/>
      </rPr>
      <t xml:space="preserve">El cuadro de aviso </t>
    </r>
    <r>
      <rPr>
        <sz val="10"/>
        <rFont val="Aptos"/>
        <family val="2"/>
      </rPr>
      <t>indica la información pendiente de completar para garantizar la correcta liquidación.</t>
    </r>
  </si>
  <si>
    <r>
      <t>En la celda</t>
    </r>
    <r>
      <rPr>
        <b/>
        <sz val="10"/>
        <rFont val="Aptos"/>
        <family val="2"/>
      </rPr>
      <t xml:space="preserve"> "Tipo de proyecto"</t>
    </r>
    <r>
      <rPr>
        <sz val="10"/>
        <rFont val="Aptos"/>
        <family val="2"/>
      </rPr>
      <t>, seleccione desde el menú desplegable la convocatoria que corresponda a su proyecto.</t>
    </r>
  </si>
  <si>
    <r>
      <t xml:space="preserve">Si el proyecto está financiado por el Ministerio, pero no aparece entre los tipos disponibles, </t>
    </r>
    <r>
      <rPr>
        <b/>
        <sz val="10"/>
        <rFont val="Arial"/>
        <family val="2"/>
      </rPr>
      <t>seleccione 'Ministerio' como opción.</t>
    </r>
  </si>
  <si>
    <r>
      <t>Para los proyectos</t>
    </r>
    <r>
      <rPr>
        <b/>
        <sz val="10"/>
        <rFont val="Aptos"/>
        <family val="2"/>
      </rPr>
      <t xml:space="preserve"> PPIT-FEDER</t>
    </r>
    <r>
      <rPr>
        <sz val="10"/>
        <rFont val="Aptos"/>
        <family val="2"/>
      </rPr>
      <t xml:space="preserve"> ,seleccione Normativa US 3/2025 para actividades posterior al 26/06/2025, para viajes anterior a esa fecha, Instrucciones US 3/2021.</t>
    </r>
  </si>
  <si>
    <r>
      <t xml:space="preserve">Para los proyectos </t>
    </r>
    <r>
      <rPr>
        <b/>
        <sz val="10"/>
        <rFont val="Aptos"/>
        <family val="2"/>
      </rPr>
      <t>EUROPEOS</t>
    </r>
    <r>
      <rPr>
        <sz val="10"/>
        <rFont val="Aptos"/>
        <family val="2"/>
      </rPr>
      <t xml:space="preserve"> eleija Normativa US.</t>
    </r>
  </si>
  <si>
    <t>Aclaración de la nomenclaturas  las convocatorias:</t>
  </si>
  <si>
    <r>
      <rPr>
        <b/>
        <sz val="10"/>
        <rFont val="Arial"/>
        <family val="2"/>
      </rPr>
      <t>CNS</t>
    </r>
    <r>
      <rPr>
        <sz val="10"/>
        <rFont val="Arial"/>
        <family val="2"/>
      </rPr>
      <t xml:space="preserve"> ( CONSOLIIDACIÓN INVESTIGADORA),</t>
    </r>
    <r>
      <rPr>
        <b/>
        <sz val="10"/>
        <rFont val="Arial"/>
        <family val="2"/>
      </rPr>
      <t xml:space="preserve"> RED </t>
    </r>
    <r>
      <rPr>
        <sz val="10"/>
        <rFont val="Arial"/>
        <family val="2"/>
      </rPr>
      <t xml:space="preserve">(REDES), </t>
    </r>
    <r>
      <rPr>
        <b/>
        <sz val="10"/>
        <rFont val="Arial"/>
        <family val="2"/>
      </rPr>
      <t>EUR</t>
    </r>
    <r>
      <rPr>
        <sz val="10"/>
        <rFont val="Arial"/>
        <family val="2"/>
      </rPr>
      <t xml:space="preserve"> (EUROPA EXCELENCIA),</t>
    </r>
    <r>
      <rPr>
        <b/>
        <sz val="10"/>
        <rFont val="Arial"/>
        <family val="2"/>
      </rPr>
      <t xml:space="preserve"> CEX</t>
    </r>
    <r>
      <rPr>
        <sz val="10"/>
        <rFont val="Arial"/>
        <family val="2"/>
      </rPr>
      <t xml:space="preserve"> (CENTRO DE EXCELENCIA, MARIA DE MAEZTU ), </t>
    </r>
  </si>
  <si>
    <r>
      <rPr>
        <b/>
        <sz val="10"/>
        <rFont val="Aptos"/>
        <family val="2"/>
      </rPr>
      <t>CPP</t>
    </r>
    <r>
      <rPr>
        <sz val="10"/>
        <rFont val="Aptos"/>
        <family val="2"/>
      </rPr>
      <t xml:space="preserve"> (PROYECTO DE COLABORACIÓN PRIVADA) solo reuniones de trabajo y trabajo se campo.</t>
    </r>
  </si>
  <si>
    <r>
      <rPr>
        <b/>
        <sz val="10"/>
        <rFont val="Arial"/>
        <family val="2"/>
      </rPr>
      <t xml:space="preserve">Normativas: </t>
    </r>
    <r>
      <rPr>
        <sz val="10"/>
        <rFont val="Arial"/>
        <family val="2"/>
      </rPr>
      <t>Cada convocatoria se rige por una normativa, por eso es importante elegir bien el tipo de proyecto. Las normativas son:</t>
    </r>
  </si>
  <si>
    <t xml:space="preserve"> RD 462/2002, DECRETO 54/1989, NORMATIVA DE GERENCIA DE LA US 3/2021 (Para actividades anteriores al 26/06/2025)</t>
  </si>
  <si>
    <t xml:space="preserve"> NORMATIVA DE GERENCIA DE LA US 3/2025 (Para actividades  posteriores al 26/06/2025, día siguiente a la entrada en vigor de su publicación en el BOUS</t>
  </si>
  <si>
    <t>Aclaración con ejemplo de la aplicación del artículo 13 de las instrucciones 3/2025 de gerencia de la US</t>
  </si>
  <si>
    <t>Artículo 13 4.DIETAS EN TERRITORIO EXTRANJERO</t>
  </si>
  <si>
    <r>
      <t xml:space="preserve">C) </t>
    </r>
    <r>
      <rPr>
        <b/>
        <sz val="10"/>
        <rFont val="Arial"/>
        <family val="2"/>
      </rPr>
      <t>En el viaje de regreso</t>
    </r>
    <r>
      <rPr>
        <sz val="10"/>
        <rFont val="Arial"/>
        <family val="2"/>
      </rPr>
      <t>, cuando se realiza</t>
    </r>
    <r>
      <rPr>
        <u/>
        <sz val="10"/>
        <rFont val="Arial"/>
        <family val="2"/>
      </rPr>
      <t xml:space="preserve"> en un solo día</t>
    </r>
    <r>
      <rPr>
        <sz val="10"/>
        <rFont val="Arial"/>
        <family val="2"/>
      </rPr>
      <t>, si la salida del país extranjero se produce despues de las 15:00 horas, solo dará lugar al derecho de percepción de media manutención del importe del país extranjero correspondiente, independientemente de la hora en que se produzca la llegada a su domicilio.</t>
    </r>
  </si>
  <si>
    <t>Ejemplo:</t>
  </si>
  <si>
    <t>Si sale de Alemania el 14/07/2025 a las 16:00 y llega a España el 14/07/2025 a las 18:30, le corresponde 1/2 manutención del país extranjero. (El regreso es en el mismo día).</t>
  </si>
  <si>
    <t>Si sale de Estados Unidos el 14/07/2025 a las 16:00 y llega a España el 15/07/2025 a las 01:01 de la madrugada,(no le corresponde manuteción), si llegara después de las 15:00 horas le corresponde 1/2 manutención de Madrid. (el regreso es en distintos días, sale el 14/07 y llega el 15/07). Para que le corresponda la mitad de la manutención del país extranjero, deberá regresar el mismo día en que salga del país, siempre que dicha salida se produzca después de las 15:00 horas.</t>
  </si>
  <si>
    <t>CUADRO DE DIETAS</t>
  </si>
  <si>
    <t xml:space="preserve">MINISTERIO.DECRETO  RD 462/2002 </t>
  </si>
  <si>
    <t>DECRETO 54/1989 JUNTA MADRID</t>
  </si>
  <si>
    <t>DECRETO 54/1989 JUNTA (Excepto Madrid)</t>
  </si>
  <si>
    <t xml:space="preserve">1/2 manutención </t>
  </si>
  <si>
    <t>Instrucción 3/2021 de la US (Madrid / Barcelona)
Para fecha  anteriores al 26/06/2025</t>
  </si>
  <si>
    <t>Instrucción 3/2021 de la US (Excepto Madrid / Barcelona)
Para fecha anteriores al 26/06/2025</t>
  </si>
  <si>
    <t>Instrucción 3/2025 de la US (Madrid / Barcelona)
Para fecha posteriores al 26/06/2025</t>
  </si>
  <si>
    <t>Instrucción 3/2025 de la US (Excepto Madrid / Barcelona)
Para fecha posteriores al 26/06/2025</t>
  </si>
  <si>
    <r>
      <rPr>
        <b/>
        <sz val="10"/>
        <rFont val="Arial"/>
        <family val="2"/>
      </rPr>
      <t>(Artículo 2 Decreto 54/1989  y sus modificaciones ).</t>
    </r>
    <r>
      <rPr>
        <sz val="10"/>
        <rFont val="Arial"/>
        <family val="2"/>
      </rPr>
      <t xml:space="preserve">
Los importes correspondientes a manutención completa y a media manutención </t>
    </r>
    <r>
      <rPr>
        <b/>
        <sz val="10"/>
        <rFont val="Arial"/>
        <family val="2"/>
      </rPr>
      <t>en territorio extranjero serán</t>
    </r>
    <r>
      <rPr>
        <sz val="10"/>
        <rFont val="Arial"/>
        <family val="2"/>
      </rPr>
      <t xml:space="preserve"> los establecidos para dichos conceptos en territorio nacional Madrid. Esto se aplica en los siguientes decretos/instrucciones:
Decreto 54/1989, Instrucció 3/2021 de la US, Instrucción 3/2025 de la US.
</t>
    </r>
    <r>
      <rPr>
        <b/>
        <sz val="10"/>
        <rFont val="Arial"/>
        <family val="2"/>
      </rPr>
      <t>Artículo 13.4.C de las instrucciones 3/2025 de gerencia de la US de 26/06/2025</t>
    </r>
    <r>
      <rPr>
        <sz val="10"/>
        <rFont val="Arial"/>
        <family val="2"/>
      </rPr>
      <t xml:space="preserve">
</t>
    </r>
    <r>
      <rPr>
        <b/>
        <u/>
        <sz val="10"/>
        <rFont val="Arial"/>
        <family val="2"/>
      </rPr>
      <t xml:space="preserve"> En el viaje de regreso</t>
    </r>
    <r>
      <rPr>
        <sz val="10"/>
        <rFont val="Arial"/>
        <family val="2"/>
      </rPr>
      <t xml:space="preserve">, cuando se realiza </t>
    </r>
    <r>
      <rPr>
        <u/>
        <sz val="10"/>
        <rFont val="Arial"/>
        <family val="2"/>
      </rPr>
      <t>en un solo día</t>
    </r>
    <r>
      <rPr>
        <sz val="10"/>
        <rFont val="Arial"/>
        <family val="2"/>
      </rPr>
      <t>, si la salida del país extranjero se produce despues de las 15:00 horas, solo dará lugar al derecho de percepción de media manutención del importe del país extranjero correspondiente, independientemente de la hora en que se produzca la llegada a su domicilio.</t>
    </r>
  </si>
  <si>
    <t>Nevo decreto de la Junta Tipos de manutención</t>
  </si>
  <si>
    <t>Manutención pernoctando (para varios días)</t>
  </si>
  <si>
    <t>Manutención sin pernoctar ( para un día)</t>
  </si>
  <si>
    <t>1/2 Manutención ( sólo una comida, almerzo o cena)</t>
  </si>
  <si>
    <t>Un día de viaje</t>
  </si>
  <si>
    <t>Salida</t>
  </si>
  <si>
    <t>Regreso</t>
  </si>
  <si>
    <t>manutención que corresponde</t>
  </si>
  <si>
    <t>antes de las 15:00</t>
  </si>
  <si>
    <t>antes de las 21:00</t>
  </si>
  <si>
    <t>1/2 manutención (almerzo fuera y cena en casa)</t>
  </si>
  <si>
    <t>después de las 15:00</t>
  </si>
  <si>
    <t>después de las 21:00 y antes de las 24:00</t>
  </si>
  <si>
    <t>1/2 manutención (almerzo en casa y cena fuera)</t>
  </si>
  <si>
    <t>salida antes de las 15:00</t>
  </si>
  <si>
    <t>despues de las 21:00 y antes de las 24:00</t>
  </si>
  <si>
    <t>Manutención sin pernoctar (almerzo y cena fuera)</t>
  </si>
  <si>
    <t>VARIOS DIAS DE VIAJE</t>
  </si>
  <si>
    <t>manutención completa (almerzo y cena fuera de casa)</t>
  </si>
  <si>
    <t>salida despues de las 15:00 pero antes de las 21:00 y antes de las 24:00</t>
  </si>
  <si>
    <t>1/2 manutención ( cena fuera de casa)</t>
  </si>
  <si>
    <t>regreso después de las 21:00 y antes de las 24:00</t>
  </si>
  <si>
    <t>manutención completa ( almuerzo y cena fuera de casa)</t>
  </si>
  <si>
    <t xml:space="preserve">regreso después de las 15:00 pero antes de las 21:00 </t>
  </si>
  <si>
    <t>1/2 manutención (almerzo fuera de casa)</t>
  </si>
  <si>
    <t>PARA PROYECTOS DE ÁMBITO REGIONAL Y EUROPEO</t>
  </si>
  <si>
    <t xml:space="preserve">APLICAR A PROYECTOS DE ÁMBITO NACIONAL </t>
  </si>
  <si>
    <t>FECHA ACTIVIDAD</t>
  </si>
  <si>
    <t>Nº</t>
  </si>
  <si>
    <t>FECHA INICO Y FIN DE LOS VIAJES</t>
  </si>
  <si>
    <t>T. Nacional: del</t>
  </si>
  <si>
    <t>Manutención Pernoctando</t>
  </si>
  <si>
    <t>inicio</t>
  </si>
  <si>
    <t>fin</t>
  </si>
  <si>
    <t>ALOJAMIENTOS NUEVA LEY DE CONTRATOS</t>
  </si>
  <si>
    <t>VALIDACION</t>
  </si>
  <si>
    <t>Alojamiento T. Nacional</t>
  </si>
  <si>
    <t>€/N</t>
  </si>
  <si>
    <t>€;</t>
  </si>
  <si>
    <t>t.Fact</t>
  </si>
  <si>
    <t>decreto de dietas</t>
  </si>
  <si>
    <t>GRABAR FACT.SEGÚN DIETAS</t>
  </si>
  <si>
    <t>ÁREA DE INVESTIGACIÓN</t>
  </si>
  <si>
    <t>Fecha</t>
  </si>
  <si>
    <t>Hora</t>
  </si>
  <si>
    <t>a</t>
  </si>
  <si>
    <t>decreto&lt;0</t>
  </si>
  <si>
    <t>AL PROYECTO</t>
  </si>
  <si>
    <t>IVA</t>
  </si>
  <si>
    <t>BI</t>
  </si>
  <si>
    <t>TOTAL FAC</t>
  </si>
  <si>
    <t>horas</t>
  </si>
  <si>
    <t>Imputar</t>
  </si>
  <si>
    <t>ALOJ.</t>
  </si>
  <si>
    <t>D.N.I.:</t>
  </si>
  <si>
    <t>1/2 MANUTE</t>
  </si>
  <si>
    <t>EXT</t>
  </si>
  <si>
    <t>Vinculación con el proyecto:</t>
  </si>
  <si>
    <t>Cuerpo o Escala:</t>
  </si>
  <si>
    <t>diferencia</t>
  </si>
  <si>
    <t>Manu sin per EXT</t>
  </si>
  <si>
    <t>Motivo del viaje:</t>
  </si>
  <si>
    <t>1º Elija la Opción</t>
  </si>
  <si>
    <t>Itinerario:</t>
  </si>
  <si>
    <t>Lugar de destino</t>
  </si>
  <si>
    <t>Fecha de la actividad:</t>
  </si>
  <si>
    <t>Fecha de inicio</t>
  </si>
  <si>
    <t>Fecha de fin</t>
  </si>
  <si>
    <t>consultar</t>
  </si>
  <si>
    <t>Falta indicar los días</t>
  </si>
  <si>
    <t>España</t>
  </si>
  <si>
    <t>Dietas T. Nacional</t>
  </si>
  <si>
    <t>hh: mm</t>
  </si>
  <si>
    <t>Falta indicar las noches</t>
  </si>
  <si>
    <t>Manutención T.Nacional</t>
  </si>
  <si>
    <t>€/D</t>
  </si>
  <si>
    <t>1/2M</t>
  </si>
  <si>
    <t>GRABAR FACTURA PAGOS A TERCEROS 10% IVA</t>
  </si>
  <si>
    <t>ANTES DE COMENZAR DEBE ELEGIR UNA OPCIÓN, MINISTERIO O JUNTA</t>
  </si>
  <si>
    <t>LIQUIDACIÓN NO VÁLIDA, DEBE ELEGIR UNA OPCIÓN, MINISTERIO O JUNTA.</t>
  </si>
  <si>
    <t>Total días de viaje :</t>
  </si>
  <si>
    <t>dias intermedios</t>
  </si>
  <si>
    <t>Alojamiento (según decreto)</t>
  </si>
  <si>
    <t>€/noche</t>
  </si>
  <si>
    <t>Alojamiento (según factura)</t>
  </si>
  <si>
    <t>Alojamiento Pagos a Terceros</t>
  </si>
  <si>
    <t>Pagos a Terceros</t>
  </si>
  <si>
    <t>MANUTENCION EN VARIOS PAÍSES</t>
  </si>
  <si>
    <t>€/día</t>
  </si>
  <si>
    <t>Haga Clic para el cálculo de Globalia</t>
  </si>
  <si>
    <t>MANT.</t>
  </si>
  <si>
    <t>manutencion</t>
  </si>
  <si>
    <t>Manutención (según factura/Ticket)</t>
  </si>
  <si>
    <t>1º pais</t>
  </si>
  <si>
    <t>Dietas T. Extranjeros</t>
  </si>
  <si>
    <t>(1º destino) Desde</t>
  </si>
  <si>
    <t>TOTAL ALEMANIA</t>
  </si>
  <si>
    <t>(1º destino) Hasta</t>
  </si>
  <si>
    <t>Total días de viaje:</t>
  </si>
  <si>
    <t>días intermedios 1º país</t>
  </si>
  <si>
    <t>total</t>
  </si>
  <si>
    <t>1/2/M</t>
  </si>
  <si>
    <t>manut 1º país ticket</t>
  </si>
  <si>
    <t>(2º destino) Desde</t>
  </si>
  <si>
    <t>(2º destino) Hasta</t>
  </si>
  <si>
    <t>días intermedios 2º país</t>
  </si>
  <si>
    <t>2º país</t>
  </si>
  <si>
    <t>Haga Clic para el cálculo de Agencia Viajes</t>
  </si>
  <si>
    <t>TOTAL ITALIA</t>
  </si>
  <si>
    <t>(3º destino) Desde</t>
  </si>
  <si>
    <t>manut 2º pais ticket</t>
  </si>
  <si>
    <t>días intermedios 3º país</t>
  </si>
  <si>
    <t>(3º destino) Hasta</t>
  </si>
  <si>
    <t>manutención</t>
  </si>
  <si>
    <t>3 pias</t>
  </si>
  <si>
    <t>alojam 3 pais</t>
  </si>
  <si>
    <t>manut</t>
  </si>
  <si>
    <t>total manuten</t>
  </si>
  <si>
    <t>Total alojam</t>
  </si>
  <si>
    <t>Pago a la persona</t>
  </si>
  <si>
    <t>Consulta de KM</t>
  </si>
  <si>
    <t>GASTOS DE LOCOMOCIÓN</t>
  </si>
  <si>
    <t>(Consultar)</t>
  </si>
  <si>
    <t>Matrícula vehículo</t>
  </si>
  <si>
    <t>3º país</t>
  </si>
  <si>
    <t>Nº Km:</t>
  </si>
  <si>
    <t>euros/Km</t>
  </si>
  <si>
    <t>Billetes pagos a Terceros</t>
  </si>
  <si>
    <t>imputar</t>
  </si>
  <si>
    <t>TOTAL FRANCIA</t>
  </si>
  <si>
    <t>FECHA DE LA ACTIVIDAD/ES</t>
  </si>
  <si>
    <t>Fecha inicio</t>
  </si>
  <si>
    <t>Fecha fin</t>
  </si>
  <si>
    <t>Gastos Inscripción o Documentación abonados por el Investigador</t>
  </si>
  <si>
    <t xml:space="preserve"> (Pagos a Terceros) Gastos Inscripción</t>
  </si>
  <si>
    <t>¿PARA ESTE VIAJE SE HA SOLICITADO UN ANTICIPO?</t>
  </si>
  <si>
    <t>ALOJAMIENTOS</t>
  </si>
  <si>
    <t>MANUTENCIONES</t>
  </si>
  <si>
    <t>En</t>
  </si>
  <si>
    <t>SEVILLA a</t>
  </si>
  <si>
    <t>locomocion</t>
  </si>
  <si>
    <t>Fdo.:</t>
  </si>
  <si>
    <t>(Persona que realiza el viaje)</t>
  </si>
  <si>
    <t>Hoja para la grabación.</t>
  </si>
  <si>
    <t>vehículo particular</t>
  </si>
  <si>
    <t>Adjunte esta hoja.</t>
  </si>
  <si>
    <t>gatos de inscripcion</t>
  </si>
  <si>
    <t>¿Quién viaja?</t>
  </si>
  <si>
    <t>€</t>
  </si>
  <si>
    <t>TOTAL ALOJAMIENTO</t>
  </si>
  <si>
    <t xml:space="preserve">Itinerario </t>
  </si>
  <si>
    <t>TOTAL MANUTENCIÓN</t>
  </si>
  <si>
    <t>¿A dónde se viaja?</t>
  </si>
  <si>
    <t>Desglosado en:</t>
  </si>
  <si>
    <t xml:space="preserve">Motivo del Viaje </t>
  </si>
  <si>
    <t>Inicio y fin del viaje</t>
  </si>
  <si>
    <t>Total Alojamiento</t>
  </si>
  <si>
    <t>Total Alojamiento Pagos a Terceros</t>
  </si>
  <si>
    <t>Total Manutención</t>
  </si>
  <si>
    <t>Total Locomoción</t>
  </si>
  <si>
    <t>Locomocion Pagos a Terceros</t>
  </si>
  <si>
    <t>Gastos de inscripcion</t>
  </si>
  <si>
    <t>Gastos de inscripción pagos a terceros</t>
  </si>
  <si>
    <t>Fecha del congreso</t>
  </si>
  <si>
    <t>otros documentos</t>
  </si>
  <si>
    <t>Otros documentos pagos a terceros</t>
  </si>
  <si>
    <t>INTRUSCCIONES PARA CUMPLIMENTAR LA LIQUIDACION DE DIETAS</t>
  </si>
  <si>
    <t>1) Los días solicitados deben coincidir con los de la Comisión de Servicio o ser menor,
 pero nunca mayor.</t>
  </si>
  <si>
    <t>2) La manutención sin pernoctar y 1/2 manutención dependerá de la hora:</t>
  </si>
  <si>
    <r>
      <t xml:space="preserve">manutención sin pernoctar: </t>
    </r>
    <r>
      <rPr>
        <sz val="10"/>
        <rFont val="Arial"/>
        <family val="2"/>
      </rPr>
      <t xml:space="preserve">cuando la Comisión de servicio obligue realizar </t>
    </r>
    <r>
      <rPr>
        <sz val="10"/>
        <color indexed="12"/>
        <rFont val="Arial"/>
        <family val="2"/>
      </rPr>
      <t>las dos comidas</t>
    </r>
    <r>
      <rPr>
        <sz val="10"/>
        <rFont val="Arial"/>
        <family val="2"/>
      </rPr>
      <t xml:space="preserve"> 
principales fuera de la residencia habitual ( salida de la residencia antes de las 14 horas </t>
    </r>
    <r>
      <rPr>
        <sz val="10"/>
        <color indexed="12"/>
        <rFont val="Arial"/>
        <family val="2"/>
      </rPr>
      <t>y</t>
    </r>
    <r>
      <rPr>
        <sz val="10"/>
        <rFont val="Arial"/>
        <family val="2"/>
      </rPr>
      <t xml:space="preserve">
 llegada después de las 22 Horas)</t>
    </r>
  </si>
  <si>
    <r>
      <t xml:space="preserve">media manutención: </t>
    </r>
    <r>
      <rPr>
        <sz val="10"/>
        <rFont val="Arial"/>
        <family val="2"/>
      </rPr>
      <t xml:space="preserve">Cuando la comisión de servicio obligue realizar </t>
    </r>
    <r>
      <rPr>
        <sz val="10"/>
        <color indexed="12"/>
        <rFont val="Arial"/>
        <family val="2"/>
      </rPr>
      <t>algunas de las comidas</t>
    </r>
    <r>
      <rPr>
        <sz val="10"/>
        <rFont val="Arial"/>
        <family val="2"/>
      </rPr>
      <t xml:space="preserve">
 principales fuera de la residencia habitual ( salida de la residencia antes de las 14 horas </t>
    </r>
    <r>
      <rPr>
        <sz val="10"/>
        <color indexed="12"/>
        <rFont val="Arial"/>
        <family val="2"/>
      </rPr>
      <t>o</t>
    </r>
    <r>
      <rPr>
        <sz val="10"/>
        <rFont val="Arial"/>
        <family val="2"/>
      </rPr>
      <t xml:space="preserve">
 llegada después de las 22 horas).</t>
    </r>
  </si>
  <si>
    <r>
      <t xml:space="preserve">3) alojamiento: </t>
    </r>
    <r>
      <rPr>
        <sz val="10"/>
        <rFont val="Arial"/>
        <family val="2"/>
      </rPr>
      <t xml:space="preserve">Como regla general las facturas de alojamiento deben ir a nombre de la persona que realiza el viaje, ya que irá incluida en las liquidaciones de dietas.
 En caso de que el pago se realice directamente por el Servicio de Investigación al Hotel o a la Agencia de Viajes, la factura debe venir como siempre, a nombre de la Universidad de Sevila con el  CIF correspondiente (Q4118001-I).  En caso de no poder conseguir alojamiento adecuado por el importe máximo establecido en dicha normativa, se precisará autorización expresa del Sr. Gerente.
</t>
    </r>
  </si>
  <si>
    <r>
      <t>4)</t>
    </r>
    <r>
      <rPr>
        <b/>
        <sz val="10"/>
        <rFont val="Arial"/>
        <family val="2"/>
      </rPr>
      <t xml:space="preserve"> Locomoción:</t>
    </r>
    <r>
      <rPr>
        <sz val="10"/>
        <rFont val="Arial"/>
        <family val="2"/>
      </rPr>
      <t xml:space="preserve"> El medio de locomoción a utilizar deberá estar  reflejado en la Comisión de
 Servicio. Si es en vehículo particular deberá indicar la matrícula , si es en avión, tren autobús,
 etc. Deberá aportar los billetes y tarjetas de embarque.</t>
    </r>
  </si>
  <si>
    <r>
      <t>5) Gastos de Inscripción:</t>
    </r>
    <r>
      <rPr>
        <sz val="10"/>
        <rFont val="Arial"/>
        <family val="2"/>
      </rPr>
      <t xml:space="preserve"> Deberá aportar copia del Certificado de aistencia y el recibo original
 del pago emitido por el congreso.</t>
    </r>
  </si>
  <si>
    <r>
      <t xml:space="preserve">6) Total de la Indemnización: </t>
    </r>
    <r>
      <rPr>
        <sz val="10"/>
        <rFont val="Arial"/>
        <family val="2"/>
      </rPr>
      <t xml:space="preserve">Si desea renunciar deberá introducir manualmente en la celda
</t>
    </r>
    <r>
      <rPr>
        <sz val="10"/>
        <color indexed="10"/>
        <rFont val="Arial"/>
        <family val="2"/>
      </rPr>
      <t>TOTAL A COBRAR</t>
    </r>
    <r>
      <rPr>
        <sz val="10"/>
        <rFont val="Arial"/>
        <family val="2"/>
      </rPr>
      <t xml:space="preserve"> la cantidad que quiera le sea abonada Ej.: total indemnización 1,000 euros y renuncia a 200 euros deberá introducir en la celsda </t>
    </r>
    <r>
      <rPr>
        <sz val="10"/>
        <color indexed="10"/>
        <rFont val="Arial"/>
        <family val="2"/>
      </rPr>
      <t>"TOTAL A COBRAR "</t>
    </r>
    <r>
      <rPr>
        <sz val="10"/>
        <rFont val="Arial"/>
        <family val="2"/>
      </rPr>
      <t xml:space="preserve"> 800 euros.</t>
    </r>
  </si>
  <si>
    <t>7) La liquidación de dietas deberá estar firmada por el responsable del gasto y la persona que
 realiza el viaje.</t>
  </si>
  <si>
    <r>
      <t xml:space="preserve">8) </t>
    </r>
    <r>
      <rPr>
        <b/>
        <sz val="10"/>
        <rFont val="Arial"/>
        <family val="2"/>
      </rPr>
      <t>Imprimir la liquidación de Dietas:</t>
    </r>
    <r>
      <rPr>
        <sz val="10"/>
        <rFont val="Arial"/>
        <family val="2"/>
      </rPr>
      <t xml:space="preserve"> Archivo configurar página / página / orientación</t>
    </r>
  </si>
  <si>
    <t>vertical.</t>
  </si>
  <si>
    <t>1) Comisión de servicio original (debidamente cumplimentada).</t>
  </si>
  <si>
    <t>a. Indicando día y hora de salida y llegada.(día de salida un día antes del evento y día de llegada un día después del evento)</t>
  </si>
  <si>
    <t xml:space="preserve">CONSULTAR </t>
  </si>
  <si>
    <t>b. En el apartado FINANCIACIÓN indicar la referencia del proyecto/s / orgánica/s.</t>
  </si>
  <si>
    <t>c. Con las firmas autorizadas.</t>
  </si>
  <si>
    <t>d. Si no se presenta autorización de desplazamiento ni comisión de servicio, hay que presentar un escrito explicativo aclarando el motivo.</t>
  </si>
  <si>
    <t>2) Memoria  justificativa relacionando la actividad con el desarrollo del proyecto.</t>
  </si>
  <si>
    <r>
      <rPr>
        <b/>
        <sz val="10"/>
        <rFont val="Arial"/>
        <family val="2"/>
      </rPr>
      <t xml:space="preserve">3) Observaciones y aclaraciones que considere necesarias sobre el viaje y la documentación presentada, </t>
    </r>
    <r>
      <rPr>
        <sz val="10"/>
        <rFont val="Arial"/>
        <family val="2"/>
      </rPr>
      <t>itinerario, importe de facturas,</t>
    </r>
  </si>
  <si>
    <t xml:space="preserve">    alojamiento compartido, fecha de salida, fecha de llegada, contravalor en euros de la moneda correspondiente etc.).</t>
  </si>
  <si>
    <t>4) Certificado de la actividad realizada (original o fotocopia compulsada). Si la factura o documento justificativo de los cursos no indica</t>
  </si>
  <si>
    <r>
      <t xml:space="preserve"> las horas del curso, deberá justificar documentalmente mediante una declaración del </t>
    </r>
    <r>
      <rPr>
        <b/>
        <u/>
        <sz val="10"/>
        <rFont val="Arial"/>
        <family val="2"/>
      </rPr>
      <t>organizador</t>
    </r>
    <r>
      <rPr>
        <b/>
        <sz val="10"/>
        <rFont val="Arial"/>
        <family val="2"/>
      </rPr>
      <t>, la duración del mismo</t>
    </r>
  </si>
  <si>
    <t>a. Factura de inscripción emitida por el congreso a su nombre y DNI.</t>
  </si>
  <si>
    <t>b. Trazabilidad del pago del congreso o curso. Cargo bancario, si se ha pagado en efectivo la factura tiene que traer el sello de pagado,</t>
  </si>
  <si>
    <t xml:space="preserve">    firma y el sello del congreso.</t>
  </si>
  <si>
    <t>c. Los gastos del poster deben consignar el CIF de la US (Q4118001I) y tramitarse con una reserva de crédito o acuerdo marco.</t>
  </si>
  <si>
    <t>5) Liquidación de dietas debidamente cumplimentada.</t>
  </si>
  <si>
    <t xml:space="preserve"> Ver días con derecho a dietas</t>
  </si>
  <si>
    <r>
      <rPr>
        <b/>
        <sz val="10"/>
        <rFont val="Arial"/>
        <family val="2"/>
      </rPr>
      <t>6) Si además hubiera pagos a Terceros como Halcón Viajes</t>
    </r>
    <r>
      <rPr>
        <sz val="10"/>
        <rFont val="Arial"/>
        <family val="2"/>
      </rPr>
      <t xml:space="preserve"> de alojamiento o locomoción, le recordamos que  debe incluirlo </t>
    </r>
  </si>
  <si>
    <t xml:space="preserve">   en la liquidación de dietas y aportar las órdenes de pago para Halcón Viajes.</t>
  </si>
  <si>
    <r>
      <t>7)</t>
    </r>
    <r>
      <rPr>
        <b/>
        <sz val="10"/>
        <rFont val="Arial"/>
        <family val="2"/>
      </rPr>
      <t xml:space="preserve"> Las facturas de: alojamiento, locomoción, inscripción a congreso, curso, workshops, etc., a</t>
    </r>
    <r>
      <rPr>
        <b/>
        <u/>
        <sz val="10"/>
        <rFont val="Arial"/>
        <family val="2"/>
      </rPr>
      <t>bonadas por el profesor</t>
    </r>
    <r>
      <rPr>
        <sz val="10"/>
        <rFont val="Arial"/>
        <family val="2"/>
      </rPr>
      <t xml:space="preserve">, deben consignar </t>
    </r>
  </si>
  <si>
    <r>
      <t>su DNI y nombre,</t>
    </r>
    <r>
      <rPr>
        <sz val="10"/>
        <color rgb="FFA50021"/>
        <rFont val="Arial"/>
        <family val="2"/>
      </rPr>
      <t xml:space="preserve"> </t>
    </r>
    <r>
      <rPr>
        <b/>
        <sz val="10"/>
        <color rgb="FFA50021"/>
        <rFont val="Arial"/>
        <family val="2"/>
      </rPr>
      <t>nunca</t>
    </r>
    <r>
      <rPr>
        <sz val="10"/>
        <rFont val="Arial"/>
        <family val="2"/>
      </rPr>
      <t xml:space="preserve"> con el CIF de la US. Trazabilidad del pago del hotel. Cargo bancario.</t>
    </r>
  </si>
  <si>
    <t>Si se ha pagado en efectivo la factura tiene que traer el sello de pagado, firma y el sello de la empresa.</t>
  </si>
  <si>
    <t>b. Las facturas deben consignar el CIF de la US (Q4118001I)</t>
  </si>
  <si>
    <t>c. No pueden incluir gastos no imputables en los proyectos como: cena de gala, excursiones minibar,etc.</t>
  </si>
  <si>
    <t>d. Deben venir desglosados los importes por conceptos (alojamiento locomoción, etc.)</t>
  </si>
  <si>
    <t xml:space="preserve">a. Factura del billete de avión o billete electrónico. </t>
  </si>
  <si>
    <t>b. Tarjetas de embarque originales. En caso de pérdida, certificado de la empresa de haber realizado el vuelo.</t>
  </si>
  <si>
    <t>c. Trazabilidad bancaria del pago del billete de avión.</t>
  </si>
  <si>
    <t>d. Taxis. Hasta un máximo de 4 trayectos en taxi, y debe figurar el itinerario y la fecha:</t>
  </si>
  <si>
    <t xml:space="preserve">   Para el día de salida: Trayecto desde la residencia al aeropuerto / del aeropuerto al hotel. Día de llegada: Trayecto del hotel al aeropuerto / </t>
  </si>
  <si>
    <t xml:space="preserve">   del aeropuerto a la residencia.</t>
  </si>
  <si>
    <t>e. La locomoción en la ciudad del destino se hará en trasporte público, adjuntando los ticket de metro, autobús, tren etc. donde se especifique el importe</t>
  </si>
  <si>
    <t xml:space="preserve">   del trayecto.</t>
  </si>
  <si>
    <t xml:space="preserve">f. Las distancias entre las distintas localidades, en general, serán calculadas según el Mapa Oficial de Carreteras editado </t>
  </si>
  <si>
    <t xml:space="preserve">   por el Ministerio de Obras Públicas y Urbanismo. (Si las distancias quedan fuera del territorio nacional, podrá </t>
  </si>
  <si>
    <t xml:space="preserve">  usar la Guía Michelin). Deberá imprimir el cálculo y ser adjuntado a la documentación.</t>
  </si>
  <si>
    <t>10) Gastos en moneda extranjera.</t>
  </si>
  <si>
    <t>a. Adjuntar el contravalor que se ha aplicado: (BOE a fecha del gasto, detalle de movimiento bancario del cambio realizado sin comisiones bancarias</t>
  </si>
  <si>
    <t xml:space="preserve">   o comprobante de la  compra de la moneda extranjera sin comisiones bancarias. Para monedas que no cotizan en bolsa aplicar un conversor).</t>
  </si>
  <si>
    <r>
      <rPr>
        <b/>
        <sz val="10"/>
        <rFont val="Arial"/>
        <family val="2"/>
      </rPr>
      <t>11) Trazabilidad del pago de todos los pagos abonados por el investigador</t>
    </r>
    <r>
      <rPr>
        <sz val="10"/>
        <rFont val="Arial"/>
        <family val="2"/>
      </rPr>
      <t xml:space="preserve"> (cargo bancario).</t>
    </r>
  </si>
  <si>
    <t>Nota Importante:</t>
  </si>
  <si>
    <t xml:space="preserve">1) Las facturas con el CIF de la US no pueden incluir conceptos que no se puedan imputar a los proyectos de investigación como: excursiones, cena de gala. </t>
  </si>
  <si>
    <t>Etc. No se puede abonar factura de alojamiento compartido, cada huésped deberá aportar su factura correspondiente</t>
  </si>
  <si>
    <t>2) En el caso de facturas de empresas encargadas de organización de congresos o cualquier otro evento similar, deben venir desglosadas indicando</t>
  </si>
  <si>
    <t xml:space="preserve"> los diferentes servicios, personas que generan esos servicios, y los importes individualizados.</t>
  </si>
  <si>
    <t>3) UTILIZACIÓN DEL VEHÍCULO PARTICULAR:</t>
  </si>
  <si>
    <r>
      <t xml:space="preserve">Con carácter general los desplazamientos se realizarán en transporte público y clase turista, </t>
    </r>
    <r>
      <rPr>
        <b/>
        <i/>
        <u/>
        <sz val="10"/>
        <color rgb="FFA50021"/>
        <rFont val="Arial"/>
        <family val="2"/>
      </rPr>
      <t xml:space="preserve">primando siempre el principio de economía, </t>
    </r>
    <r>
      <rPr>
        <b/>
        <sz val="10"/>
        <color rgb="FFA50021"/>
        <rFont val="Arial"/>
        <family val="2"/>
      </rPr>
      <t xml:space="preserve">siendo </t>
    </r>
  </si>
  <si>
    <t xml:space="preserve">excepcional el uso del vehículo particular y siempre que sea la opción más económica, debiendo quedar justificado dicha circunstancia en la comisión de </t>
  </si>
  <si>
    <t>servicio autorizada por su institución.</t>
  </si>
  <si>
    <t>Gasolina: sólo para vehículo de alquiler o del grupo de investigación y si el gasto es elegible en el proyecto</t>
  </si>
  <si>
    <t xml:space="preserve">detallando el vehículo, fecha, kilómetros desplazados y motivo del viaje. </t>
  </si>
  <si>
    <t>Para vehículo propio sólo se abonará kilometraje.</t>
  </si>
  <si>
    <t>3) Si la factura o documento justificativo de los cursos no indica las horas del curso, deberá justificar documentalmente mediante una declaración del organizador, la duración del mismo</t>
  </si>
  <si>
    <t>Dias con derecho a dietas</t>
  </si>
  <si>
    <t xml:space="preserve">Con carácter general, las fechas de los viajes han de coincidir con las fechas del </t>
  </si>
  <si>
    <t xml:space="preserve">congreso/curso/workshop y hasta un día antes y un día después. No se aceptan fechas anteriores o </t>
  </si>
  <si>
    <t xml:space="preserve">posteriores salvo que se acredite la existencia de un motivo relacionado con el desarrollo del proyecto o </t>
  </si>
  <si>
    <t xml:space="preserve">por ajuste horario con el lugar de destino. En el caso de que las fechas de salida y retorno sean anteriores o </t>
  </si>
  <si>
    <t xml:space="preserve">posteriores a las anteriormente indicadas y derivadas de causas distintas a las relacionadas con el </t>
  </si>
  <si>
    <t xml:space="preserve">proyecto, no serán gastos elegibles los gastos de alojamiento y manutención correspondientes a dicho </t>
  </si>
  <si>
    <t xml:space="preserve">periodo. Los gastos de viaje, alojamiento y manutención que se imputen estarán limitados por los </t>
  </si>
  <si>
    <t>importes establecidos para el grupo 2 en el  Decreto de dietas 54/1989 de 21 de marzo, sobre indemnizaciones por razón del servicio</t>
  </si>
  <si>
    <t>Explicación con ejemplo:</t>
  </si>
  <si>
    <t xml:space="preserve">Ejemplo: </t>
  </si>
  <si>
    <t>Fecha de salida 16/02/2018</t>
  </si>
  <si>
    <t>Fecha de regreso 22/02/2018 (Total días de viaje: 7)</t>
  </si>
  <si>
    <t>Fecha de la actividad/es del 19/02/2018 al 21/02/2018  (Sólo le corresponde 5 días de dietas)</t>
  </si>
  <si>
    <t>HOJA</t>
  </si>
  <si>
    <t>Indicar aquí el área de impresión</t>
  </si>
  <si>
    <t>En el menú Diseño de página hacer click en “Configurar página” y ahí dentro en “Hoja”.</t>
  </si>
  <si>
    <t xml:space="preserve"> En Hoja indicar el área de impresión, desmarcar las opciones de “Líneas de cuadrícula” y “Títulos de filas y columnas”. </t>
  </si>
  <si>
    <r>
      <t>ÁREA DE IMPRESIÓN DE LIQUIDACIÓN DE GASTOS:</t>
    </r>
    <r>
      <rPr>
        <b/>
        <sz val="10"/>
        <rFont val="Arial"/>
        <family val="2"/>
      </rPr>
      <t xml:space="preserve"> CR1:CY179</t>
    </r>
  </si>
  <si>
    <r>
      <t xml:space="preserve">ÁREA DE IMPRESIÓN DE VIAJE EN TRÁNSITO DE REGRESO: </t>
    </r>
    <r>
      <rPr>
        <b/>
        <sz val="10"/>
        <rFont val="Arial"/>
        <family val="2"/>
      </rPr>
      <t xml:space="preserve">CR1:CY236 </t>
    </r>
  </si>
  <si>
    <r>
      <t xml:space="preserve">ÁREA DE IMPRESIÓN DE VARIOS PAÍSES:  </t>
    </r>
    <r>
      <rPr>
        <b/>
        <sz val="10"/>
        <rFont val="Arial"/>
        <family val="2"/>
      </rPr>
      <t>CR1:CY276</t>
    </r>
  </si>
  <si>
    <t>Declaración de uso del vehículo particular</t>
  </si>
  <si>
    <t>Yo, D./Dª</t>
  </si>
  <si>
    <t>con .D.N.I:</t>
  </si>
  <si>
    <r>
      <t>DECLARO:</t>
    </r>
    <r>
      <rPr>
        <b/>
        <sz val="12"/>
        <color rgb="FFFF0000"/>
        <rFont val="Arial"/>
        <family val="2"/>
      </rPr>
      <t>*</t>
    </r>
  </si>
  <si>
    <t>Y para que conste y surta los efectos oportunos, firmo la presente.</t>
  </si>
  <si>
    <t>En:</t>
  </si>
  <si>
    <r>
      <rPr>
        <b/>
        <sz val="14"/>
        <color rgb="FFFF0000"/>
        <rFont val="Arial"/>
        <family val="2"/>
      </rPr>
      <t>*</t>
    </r>
    <r>
      <rPr>
        <sz val="10"/>
        <rFont val="Arial"/>
        <family val="2"/>
      </rPr>
      <t xml:space="preserve"> Justificación del uso del vehículo particular, ya que con carácter general los desplazamientos se realizarán</t>
    </r>
  </si>
  <si>
    <t xml:space="preserve"> en transporte público y clase turista, primando siempre el principio de economía.</t>
  </si>
  <si>
    <r>
      <t xml:space="preserve">Estos kilómetros corresponde desde Sevilla a las capitales de provincias de España, (del mapa oficial de carreteras) </t>
    </r>
    <r>
      <rPr>
        <b/>
        <sz val="14"/>
        <color rgb="FF006600"/>
        <rFont val="Calibri"/>
        <family val="2"/>
        <scheme val="minor"/>
      </rPr>
      <t>sólo la ida</t>
    </r>
    <r>
      <rPr>
        <b/>
        <sz val="12"/>
        <color rgb="FF006600"/>
        <rFont val="Calibri"/>
        <family val="2"/>
        <scheme val="minor"/>
      </rPr>
      <t>.</t>
    </r>
  </si>
  <si>
    <r>
      <t xml:space="preserve"> A CORUÑA, -  SEVILLA - </t>
    </r>
    <r>
      <rPr>
        <b/>
        <sz val="11"/>
        <color rgb="FF006600"/>
        <rFont val="Calibri"/>
        <family val="2"/>
        <scheme val="minor"/>
      </rPr>
      <t>919.02 Km.</t>
    </r>
  </si>
  <si>
    <r>
      <t xml:space="preserve"> ALBACETE - SEVILLA- </t>
    </r>
    <r>
      <rPr>
        <b/>
        <sz val="11"/>
        <color rgb="FF006600"/>
        <rFont val="Calibri"/>
        <family val="2"/>
        <scheme val="minor"/>
      </rPr>
      <t>516.92 Km.</t>
    </r>
  </si>
  <si>
    <r>
      <t xml:space="preserve">  ALICANTE   SEVILLA</t>
    </r>
    <r>
      <rPr>
        <b/>
        <sz val="11"/>
        <color rgb="FF006600"/>
        <rFont val="Calibri"/>
        <family val="2"/>
        <scheme val="minor"/>
      </rPr>
      <t xml:space="preserve"> -594.40 Km</t>
    </r>
    <r>
      <rPr>
        <b/>
        <sz val="11"/>
        <color rgb="FF365F91"/>
        <rFont val="Calibri"/>
        <family val="2"/>
        <scheme val="minor"/>
      </rPr>
      <t>.</t>
    </r>
  </si>
  <si>
    <r>
      <t xml:space="preserve">  ALMERÍA  SEVILLA-</t>
    </r>
    <r>
      <rPr>
        <b/>
        <sz val="11"/>
        <color rgb="FF006600"/>
        <rFont val="Calibri"/>
        <family val="2"/>
        <scheme val="minor"/>
      </rPr>
      <t xml:space="preserve"> 400.84 Km.</t>
    </r>
  </si>
  <si>
    <r>
      <t xml:space="preserve">  ÁVILA  SEVILLA-</t>
    </r>
    <r>
      <rPr>
        <b/>
        <sz val="11"/>
        <color rgb="FF006600"/>
        <rFont val="Calibri"/>
        <family val="2"/>
        <scheme val="minor"/>
      </rPr>
      <t xml:space="preserve"> 483.62 Km.</t>
    </r>
  </si>
  <si>
    <r>
      <t xml:space="preserve">  BADAJOZ - SEVILLA- </t>
    </r>
    <r>
      <rPr>
        <b/>
        <sz val="11"/>
        <color rgb="FF006600"/>
        <rFont val="Calibri"/>
        <family val="2"/>
        <scheme val="minor"/>
      </rPr>
      <t>211.90 Km.</t>
    </r>
  </si>
  <si>
    <r>
      <t xml:space="preserve">  BARCELONA SEVILLA</t>
    </r>
    <r>
      <rPr>
        <b/>
        <sz val="11"/>
        <color rgb="FF006600"/>
        <rFont val="Calibri"/>
        <family val="2"/>
        <scheme val="minor"/>
      </rPr>
      <t xml:space="preserve"> -992.33 Km.</t>
    </r>
  </si>
  <si>
    <r>
      <t xml:space="preserve">  BILBAO  SEVILLA -</t>
    </r>
    <r>
      <rPr>
        <b/>
        <sz val="11"/>
        <color rgb="FF006600"/>
        <rFont val="Calibri"/>
        <family val="2"/>
        <scheme val="minor"/>
      </rPr>
      <t>857.55 Km.</t>
    </r>
  </si>
  <si>
    <r>
      <t xml:space="preserve">  BURGOS  SEVILLA </t>
    </r>
    <r>
      <rPr>
        <b/>
        <sz val="11"/>
        <color rgb="FF006600"/>
        <rFont val="Calibri"/>
        <family val="2"/>
        <scheme val="minor"/>
      </rPr>
      <t>-703.88 Km.</t>
    </r>
  </si>
  <si>
    <r>
      <t xml:space="preserve">  CÁCERES - SEVILLA- </t>
    </r>
    <r>
      <rPr>
        <b/>
        <sz val="11"/>
        <color rgb="FF006600"/>
        <rFont val="Calibri"/>
        <family val="2"/>
        <scheme val="minor"/>
      </rPr>
      <t>263.17 Km.</t>
    </r>
  </si>
  <si>
    <r>
      <t xml:space="preserve">  CÁDIZ - SEVILLA- </t>
    </r>
    <r>
      <rPr>
        <b/>
        <sz val="11"/>
        <color rgb="FF006600"/>
        <rFont val="Calibri"/>
        <family val="2"/>
        <scheme val="minor"/>
      </rPr>
      <t>121.36 Km.</t>
    </r>
  </si>
  <si>
    <r>
      <t xml:space="preserve"> CASTELLÓN DE LA PLANA  - SEVILLA- </t>
    </r>
    <r>
      <rPr>
        <b/>
        <sz val="11"/>
        <color rgb="FF006600"/>
        <rFont val="Calibri"/>
        <family val="2"/>
        <scheme val="minor"/>
      </rPr>
      <t xml:space="preserve"> 683.25 Km</t>
    </r>
  </si>
  <si>
    <r>
      <t xml:space="preserve"> CIUDAD REAL - SEVILLA - </t>
    </r>
    <r>
      <rPr>
        <b/>
        <sz val="11"/>
        <color rgb="FF006600"/>
        <rFont val="Calibri"/>
        <family val="2"/>
        <scheme val="minor"/>
      </rPr>
      <t>321.35 Km.</t>
    </r>
  </si>
  <si>
    <r>
      <t xml:space="preserve">  CÓRDOBA  SEVILLA- </t>
    </r>
    <r>
      <rPr>
        <b/>
        <sz val="11"/>
        <color rgb="FF006600"/>
        <rFont val="Calibri"/>
        <family val="2"/>
        <scheme val="minor"/>
      </rPr>
      <t>141.24 Km.</t>
    </r>
  </si>
  <si>
    <r>
      <t xml:space="preserve">  CORUÑA, A  SEVILLA- </t>
    </r>
    <r>
      <rPr>
        <b/>
        <sz val="11"/>
        <color rgb="FF006600"/>
        <rFont val="Calibri"/>
        <family val="2"/>
        <scheme val="minor"/>
      </rPr>
      <t>919.02 Km.</t>
    </r>
  </si>
  <si>
    <r>
      <t xml:space="preserve">  CUENCA - SEVILLA- </t>
    </r>
    <r>
      <rPr>
        <b/>
        <sz val="11"/>
        <color rgb="FF006600"/>
        <rFont val="Calibri"/>
        <family val="2"/>
        <scheme val="minor"/>
      </rPr>
      <t>558.98 Km.</t>
    </r>
  </si>
  <si>
    <r>
      <t xml:space="preserve">  GIRONA - SEVILLA -</t>
    </r>
    <r>
      <rPr>
        <b/>
        <sz val="11"/>
        <color rgb="FF006600"/>
        <rFont val="Calibri"/>
        <family val="2"/>
        <scheme val="minor"/>
      </rPr>
      <t xml:space="preserve"> 1077.26 Km.</t>
    </r>
  </si>
  <si>
    <r>
      <t xml:space="preserve"> GRANADA - SEVILLA - </t>
    </r>
    <r>
      <rPr>
        <b/>
        <sz val="11"/>
        <color rgb="FF006600"/>
        <rFont val="Calibri"/>
        <family val="2"/>
        <scheme val="minor"/>
      </rPr>
      <t>246.37 Km</t>
    </r>
  </si>
  <si>
    <r>
      <t xml:space="preserve">  GUADALAJARA  - SEVILLA - </t>
    </r>
    <r>
      <rPr>
        <b/>
        <sz val="11"/>
        <color rgb="FF006600"/>
        <rFont val="Calibri"/>
        <family val="2"/>
        <scheme val="minor"/>
      </rPr>
      <t>577.59 Km.</t>
    </r>
  </si>
  <si>
    <r>
      <t xml:space="preserve"> JAÉN - SEVILLA - </t>
    </r>
    <r>
      <rPr>
        <b/>
        <sz val="11"/>
        <color rgb="FF006600"/>
        <rFont val="Calibri"/>
        <family val="2"/>
        <scheme val="minor"/>
      </rPr>
      <t>248.83 Km.</t>
    </r>
  </si>
  <si>
    <r>
      <t xml:space="preserve">  HUELVA - SEVILLA - </t>
    </r>
    <r>
      <rPr>
        <b/>
        <sz val="11"/>
        <color rgb="FF006600"/>
        <rFont val="Calibri"/>
        <family val="2"/>
        <scheme val="minor"/>
      </rPr>
      <t xml:space="preserve"> 93.94 Km.</t>
    </r>
  </si>
  <si>
    <r>
      <t xml:space="preserve">  HUESCA -  SEVILLA - </t>
    </r>
    <r>
      <rPr>
        <b/>
        <sz val="11"/>
        <color rgb="FF006600"/>
        <rFont val="Calibri"/>
        <family val="2"/>
        <scheme val="minor"/>
      </rPr>
      <t>900.12 Km.</t>
    </r>
  </si>
  <si>
    <r>
      <t xml:space="preserve">  LEÓN -  SEVILLA - </t>
    </r>
    <r>
      <rPr>
        <b/>
        <sz val="11"/>
        <color rgb="FF006600"/>
        <rFont val="Calibri"/>
        <family val="2"/>
        <scheme val="minor"/>
      </rPr>
      <t>660.86 Km.</t>
    </r>
  </si>
  <si>
    <r>
      <t xml:space="preserve">  LLEIDA - SEVILLA -</t>
    </r>
    <r>
      <rPr>
        <b/>
        <sz val="11"/>
        <color rgb="FF006600"/>
        <rFont val="Calibri"/>
        <family val="2"/>
        <scheme val="minor"/>
      </rPr>
      <t xml:space="preserve"> 976.20 Km.</t>
    </r>
  </si>
  <si>
    <r>
      <t xml:space="preserve">  LOGROÑO - SEVILLA -</t>
    </r>
    <r>
      <rPr>
        <b/>
        <sz val="11"/>
        <color rgb="FF006600"/>
        <rFont val="Calibri"/>
        <family val="2"/>
        <scheme val="minor"/>
      </rPr>
      <t xml:space="preserve"> 817.27 Km.</t>
    </r>
  </si>
  <si>
    <r>
      <t xml:space="preserve">  LUGO - SEVILLA -</t>
    </r>
    <r>
      <rPr>
        <b/>
        <sz val="11"/>
        <color rgb="FF006600"/>
        <rFont val="Calibri"/>
        <family val="2"/>
        <scheme val="minor"/>
      </rPr>
      <t xml:space="preserve"> 825.30 Km.</t>
    </r>
  </si>
  <si>
    <r>
      <t xml:space="preserve">  MADRID - SEVILLA - </t>
    </r>
    <r>
      <rPr>
        <b/>
        <sz val="11"/>
        <color rgb="FF006600"/>
        <rFont val="Calibri"/>
        <family val="2"/>
        <scheme val="minor"/>
      </rPr>
      <t>526.50 Km.</t>
    </r>
  </si>
  <si>
    <r>
      <t xml:space="preserve">  MÁLAGA - SEVILLA - </t>
    </r>
    <r>
      <rPr>
        <b/>
        <sz val="11"/>
        <color rgb="FF006600"/>
        <rFont val="Calibri"/>
        <family val="2"/>
        <scheme val="minor"/>
      </rPr>
      <t>201.75 Km.</t>
    </r>
  </si>
  <si>
    <r>
      <t xml:space="preserve">  MURCIA -  SEVILLA -</t>
    </r>
    <r>
      <rPr>
        <b/>
        <sz val="11"/>
        <color rgb="FF006600"/>
        <rFont val="Calibri"/>
        <family val="2"/>
        <scheme val="minor"/>
      </rPr>
      <t xml:space="preserve"> 521.86 Km.</t>
    </r>
  </si>
  <si>
    <r>
      <t xml:space="preserve">  OURENSE - SEVILLA - </t>
    </r>
    <r>
      <rPr>
        <b/>
        <sz val="11"/>
        <color rgb="FF006600"/>
        <rFont val="Calibri"/>
        <family val="2"/>
        <scheme val="minor"/>
      </rPr>
      <t>787.20 Km</t>
    </r>
    <r>
      <rPr>
        <b/>
        <sz val="11"/>
        <color rgb="FF365F91"/>
        <rFont val="Calibri"/>
        <family val="2"/>
        <scheme val="minor"/>
      </rPr>
      <t>.</t>
    </r>
  </si>
  <si>
    <r>
      <t xml:space="preserve">  OVIEDO - SEVILLA -</t>
    </r>
    <r>
      <rPr>
        <b/>
        <sz val="11"/>
        <color rgb="FF006600"/>
        <rFont val="Calibri"/>
        <family val="2"/>
        <scheme val="minor"/>
      </rPr>
      <t xml:space="preserve"> 771.31 Km.</t>
    </r>
  </si>
  <si>
    <r>
      <t xml:space="preserve">  PALENCIA - SEVILLA -</t>
    </r>
    <r>
      <rPr>
        <b/>
        <sz val="11"/>
        <color rgb="FF006600"/>
        <rFont val="Calibri"/>
        <family val="2"/>
        <scheme val="minor"/>
      </rPr>
      <t xml:space="preserve"> 627.18 Km.</t>
    </r>
  </si>
  <si>
    <r>
      <t xml:space="preserve">  PAMPLONA - SEVILLA -</t>
    </r>
    <r>
      <rPr>
        <b/>
        <sz val="11"/>
        <color rgb="FF006600"/>
        <rFont val="Calibri"/>
        <family val="2"/>
        <scheme val="minor"/>
      </rPr>
      <t xml:space="preserve"> 910.06 Km.</t>
    </r>
  </si>
  <si>
    <r>
      <t xml:space="preserve">  PONTEVEDRA - SEVILLA </t>
    </r>
    <r>
      <rPr>
        <b/>
        <sz val="11"/>
        <color rgb="FF006600"/>
        <rFont val="Calibri"/>
        <family val="2"/>
        <scheme val="minor"/>
      </rPr>
      <t>- 876.39 Km.</t>
    </r>
  </si>
  <si>
    <r>
      <t xml:space="preserve">  SAN SEBASTIÁN - SEVILLA - </t>
    </r>
    <r>
      <rPr>
        <b/>
        <sz val="11"/>
        <color rgb="FF006600"/>
        <rFont val="Calibri"/>
        <family val="2"/>
        <scheme val="minor"/>
      </rPr>
      <t>914.15 Km.</t>
    </r>
  </si>
  <si>
    <r>
      <t xml:space="preserve">  SALAMANCA - SEVILLA - </t>
    </r>
    <r>
      <rPr>
        <b/>
        <sz val="11"/>
        <color rgb="FF006600"/>
        <rFont val="Calibri"/>
        <family val="2"/>
        <scheme val="minor"/>
      </rPr>
      <t>460.35 Km.</t>
    </r>
  </si>
  <si>
    <r>
      <t xml:space="preserve">  SANTANDER - SEVILLA -</t>
    </r>
    <r>
      <rPr>
        <b/>
        <sz val="11"/>
        <color rgb="FF006600"/>
        <rFont val="Calibri"/>
        <family val="2"/>
        <scheme val="minor"/>
      </rPr>
      <t xml:space="preserve"> 825.17 Km.</t>
    </r>
  </si>
  <si>
    <r>
      <t xml:space="preserve">  SANTIAGO DE COMPOSTELA - SEVILLA -</t>
    </r>
    <r>
      <rPr>
        <b/>
        <sz val="11"/>
        <color rgb="FF006600"/>
        <rFont val="Calibri"/>
        <family val="2"/>
        <scheme val="minor"/>
      </rPr>
      <t xml:space="preserve"> 888.42 Km.</t>
    </r>
  </si>
  <si>
    <r>
      <t xml:space="preserve">  SEGOVIA - SEVILLA - </t>
    </r>
    <r>
      <rPr>
        <b/>
        <sz val="11"/>
        <color rgb="FF006600"/>
        <rFont val="Calibri"/>
        <family val="2"/>
        <scheme val="minor"/>
      </rPr>
      <t>545.20 Km.</t>
    </r>
  </si>
  <si>
    <r>
      <t xml:space="preserve"> SORIA - SEVILLA -</t>
    </r>
    <r>
      <rPr>
        <b/>
        <sz val="11"/>
        <color rgb="FF006600"/>
        <rFont val="Calibri"/>
        <family val="2"/>
        <scheme val="minor"/>
      </rPr>
      <t xml:space="preserve"> 746.97 Km.</t>
    </r>
  </si>
  <si>
    <r>
      <t xml:space="preserve"> TARRAGONA - SEVILLA -</t>
    </r>
    <r>
      <rPr>
        <b/>
        <sz val="11"/>
        <color rgb="FF006600"/>
        <rFont val="Calibri"/>
        <family val="2"/>
        <scheme val="minor"/>
      </rPr>
      <t xml:space="preserve"> 892.40 Km.</t>
    </r>
  </si>
  <si>
    <r>
      <t xml:space="preserve"> TERUEL - SEVILLA - </t>
    </r>
    <r>
      <rPr>
        <b/>
        <sz val="11"/>
        <color rgb="FF006600"/>
        <rFont val="Calibri"/>
        <family val="2"/>
        <scheme val="minor"/>
      </rPr>
      <t>680.18 Km.</t>
    </r>
  </si>
  <si>
    <r>
      <t xml:space="preserve"> TOLEDO - SEVILLA -</t>
    </r>
    <r>
      <rPr>
        <b/>
        <sz val="11"/>
        <color rgb="FF006600"/>
        <rFont val="Calibri"/>
        <family val="2"/>
        <scheme val="minor"/>
      </rPr>
      <t xml:space="preserve"> 473.81 Km.</t>
    </r>
  </si>
  <si>
    <r>
      <t xml:space="preserve"> VALENCIA - SEVILLA -</t>
    </r>
    <r>
      <rPr>
        <b/>
        <sz val="11"/>
        <color rgb="FF006600"/>
        <rFont val="Calibri"/>
        <family val="2"/>
        <scheme val="minor"/>
      </rPr>
      <t xml:space="preserve"> 646.92 Km.</t>
    </r>
  </si>
  <si>
    <r>
      <t xml:space="preserve"> VALLADOLID - SEVILLA - </t>
    </r>
    <r>
      <rPr>
        <b/>
        <sz val="11"/>
        <color rgb="FF006600"/>
        <rFont val="Calibri"/>
        <family val="2"/>
        <scheme val="minor"/>
      </rPr>
      <t>579.87 Km.</t>
    </r>
  </si>
  <si>
    <r>
      <t xml:space="preserve">  VITORIA-GASTEIZ - SEVILLA - </t>
    </r>
    <r>
      <rPr>
        <b/>
        <sz val="11"/>
        <color rgb="FF006600"/>
        <rFont val="Calibri"/>
        <family val="2"/>
        <scheme val="minor"/>
      </rPr>
      <t>815.05 Km.</t>
    </r>
  </si>
  <si>
    <r>
      <t xml:space="preserve"> ZAMORA - SEVILLA -</t>
    </r>
    <r>
      <rPr>
        <b/>
        <sz val="11"/>
        <color rgb="FF006600"/>
        <rFont val="Calibri"/>
        <family val="2"/>
        <scheme val="minor"/>
      </rPr>
      <t xml:space="preserve"> 526.54 Km</t>
    </r>
    <r>
      <rPr>
        <b/>
        <sz val="11"/>
        <color rgb="FF365F91"/>
        <rFont val="Calibri"/>
        <family val="2"/>
        <scheme val="minor"/>
      </rPr>
      <t>.</t>
    </r>
  </si>
  <si>
    <r>
      <t xml:space="preserve"> ZARAGOZA - SEVILLA -</t>
    </r>
    <r>
      <rPr>
        <b/>
        <sz val="11"/>
        <color rgb="FF006600"/>
        <rFont val="Calibri"/>
        <family val="2"/>
        <scheme val="minor"/>
      </rPr>
      <t xml:space="preserve"> 831.24 Km.</t>
    </r>
  </si>
  <si>
    <t>Elegir Decreto  ▼</t>
  </si>
  <si>
    <t>Sevilla</t>
  </si>
  <si>
    <t>Invitado</t>
  </si>
  <si>
    <t>EJEMPLO 1</t>
  </si>
  <si>
    <t>462/2002 Ministerio</t>
  </si>
  <si>
    <t>LIQUIDACIÓN DE GASTOS PARA CONFERENCIANTES</t>
  </si>
  <si>
    <t>54/1989 Junta</t>
  </si>
  <si>
    <t>Normativa US</t>
  </si>
  <si>
    <t>Elegir ▼</t>
  </si>
  <si>
    <t>Terceros</t>
  </si>
  <si>
    <t>IP / otro profesor</t>
  </si>
  <si>
    <t>FEDER US-2 (Excepto Madrid/Barcelona)</t>
  </si>
  <si>
    <t>FEDER US-2 (Madrid/Barcelona)</t>
  </si>
  <si>
    <t>Según Decreto</t>
  </si>
  <si>
    <t>D /Dª</t>
  </si>
  <si>
    <t>Responsable del Proyecto</t>
  </si>
  <si>
    <t xml:space="preserve">Orgánica y Proyecto </t>
  </si>
  <si>
    <t>Invita al Sr. D.:(1)</t>
  </si>
  <si>
    <t>Nacionalidad:</t>
  </si>
  <si>
    <t>DNI/Pasaporte</t>
  </si>
  <si>
    <t>Abonar 50 euros de Taxi al conferenciante D. José Fernández</t>
  </si>
  <si>
    <t>Domicilio</t>
  </si>
  <si>
    <t xml:space="preserve">Abonar 300 euros de Avión a la Agencia de Viajes </t>
  </si>
  <si>
    <t>A la celebración de:</t>
  </si>
  <si>
    <t>El interesado (3)</t>
  </si>
  <si>
    <t>Nº Km</t>
  </si>
  <si>
    <t>Abonar 100 euros de alojamiento a la Agencia de Viajes Globalia</t>
  </si>
  <si>
    <t>Locomoción</t>
  </si>
  <si>
    <t>Taxi</t>
  </si>
  <si>
    <t>Vehículo propio</t>
  </si>
  <si>
    <t>Totales</t>
  </si>
  <si>
    <t>gastos del conferenciante</t>
  </si>
  <si>
    <t>TERCEROS</t>
  </si>
  <si>
    <t>IP/ Otro Prof</t>
  </si>
  <si>
    <t>TOTALES</t>
  </si>
  <si>
    <t>(abonar a): I.P / Otro Profesor</t>
  </si>
  <si>
    <t>Factura simplificada abonada por D. José Fernández y sin el CIF de la US. Supera el decreto de dietas en 79,59 €, debe solicitar autorización sl Sr. Gerente de la US.</t>
  </si>
  <si>
    <t>(abonar a): Terceros</t>
  </si>
  <si>
    <t>Haga clic para el cálculo de Agencia de Viajes</t>
  </si>
  <si>
    <t>Total locomoción:</t>
  </si>
  <si>
    <t>conferencia</t>
  </si>
  <si>
    <t>Abonar a D. José Fernández la conferencia.</t>
  </si>
  <si>
    <t>IRPF</t>
  </si>
  <si>
    <t>Decreto máx.:</t>
  </si>
  <si>
    <t>€/ noches</t>
  </si>
  <si>
    <t>Importe de Fac.</t>
  </si>
  <si>
    <t>Decreto</t>
  </si>
  <si>
    <t>total a abonar</t>
  </si>
  <si>
    <t>Liquido</t>
  </si>
  <si>
    <t>Alojamiento (abonar a):</t>
  </si>
  <si>
    <t>Haga clic para el cálculo de Agencia de Viaje</t>
  </si>
  <si>
    <t>Manutención (abonar a):</t>
  </si>
  <si>
    <t>Por Factura</t>
  </si>
  <si>
    <t>EJEMPLO 2</t>
  </si>
  <si>
    <t>Según Factura</t>
  </si>
  <si>
    <t>Nº de días</t>
  </si>
  <si>
    <t>€ / días</t>
  </si>
  <si>
    <t>Decreto: Media</t>
  </si>
  <si>
    <t>Por el proyecto del Ministerio solo se puede imputar lo que establece el decreto de dietas en alojamiento y manutención; la diferencia, excepcionalmente y con autorización del Sr. Gerente de la US podrá solicitar la diferencia por otro proyecto/ayuda que admita el gasto</t>
  </si>
  <si>
    <t>Decreto: Completa</t>
  </si>
  <si>
    <t>total Manut</t>
  </si>
  <si>
    <t>total por Dec</t>
  </si>
  <si>
    <t>Conferencia (abonar a):</t>
  </si>
  <si>
    <t>IRPF (que aplica)</t>
  </si>
  <si>
    <t>EL GASTO TOTAL DE ESTE VIAJE ASCIENDE A:</t>
  </si>
  <si>
    <t>Completa</t>
  </si>
  <si>
    <t>Elegir abonar por Factura o Decreto▼</t>
  </si>
  <si>
    <t>Por Decreto</t>
  </si>
  <si>
    <t>DATOS BANCARIOS DE:</t>
  </si>
  <si>
    <t>IBAN Español</t>
  </si>
  <si>
    <t>IBAN zona SEPA</t>
  </si>
  <si>
    <t>Otro formato (2)</t>
  </si>
  <si>
    <t>Proyecto del Ministerio</t>
  </si>
  <si>
    <t>Solicitud de transferencia al exterior</t>
  </si>
  <si>
    <t>Orgánica:</t>
  </si>
  <si>
    <t>Nº de proyecto:</t>
  </si>
  <si>
    <t>Excepcionalmente y con autorización del Sr. Gerente de la US podrá solicitar la diferencia por otro proyecto/ayuda que admita el gasto. Ver observaciones al final de la liquidación.</t>
  </si>
  <si>
    <t>Observaciones:</t>
  </si>
  <si>
    <t>Sevilla a</t>
  </si>
  <si>
    <t>Factura simplificada abonada por D. José Fernández y sin el CIF de la US. Excepcionalmente y con autorización del Sr. Gerente de la US podrá solicitar la diferencia por otro proyecto/ayuda que admita el gasto. Ver observaciones al final de la liquidación.</t>
  </si>
  <si>
    <t>Solo en aquellos proyectos que admita este gasto. Ver observaciones al final de la liquidación.</t>
  </si>
  <si>
    <t>Fd.:</t>
  </si>
  <si>
    <t>El responsable del gastos</t>
  </si>
  <si>
    <t xml:space="preserve">NOTA: Si es personal sujeto a la Ley de Incompatibilidades, deben comunicar al Servicio de Personal correspondiente el número de horas de conferencias o cursos que van a impartir. </t>
  </si>
  <si>
    <t xml:space="preserve">(1) Si es la primera vez que se le abona un gasto tiene que aportar la siguiente documentación </t>
  </si>
  <si>
    <t>enlace</t>
  </si>
  <si>
    <t xml:space="preserve">y cumplimentar el siguiente impreso </t>
  </si>
  <si>
    <t>Desglose y total de gastos que no se pueden imputar por el proyecto del Ministerio.</t>
  </si>
  <si>
    <t xml:space="preserve">(2) Especificar procedencia y vinculación con la Administración. Adjuntar </t>
  </si>
  <si>
    <t>anexo de compatibilidad</t>
  </si>
  <si>
    <t>(3) En caso de pago al extranjero adjunta el impreso</t>
  </si>
  <si>
    <t>(4) Adjuntar copia de N.I.F./ D.N.I./ Pasaporte y en el caso de extranjeros certificación fiscal del país donde tributa.</t>
  </si>
  <si>
    <t xml:space="preserve">(5) A partir del 12 de Julio del 2015, el I.R.P.F. es el 15% para españoles. </t>
  </si>
  <si>
    <t xml:space="preserve">VIAJE PARA TERRITORIO NACIONAL  REALIZADO EN EL MISMO DÍA </t>
  </si>
  <si>
    <t>desde</t>
  </si>
  <si>
    <t>hasta</t>
  </si>
  <si>
    <t>Manutención en territorio nacional para viaje de varios  días</t>
  </si>
  <si>
    <t>DESDE</t>
  </si>
  <si>
    <t>HASTA</t>
  </si>
  <si>
    <t>Día</t>
  </si>
  <si>
    <t>Inicio del viaje</t>
  </si>
  <si>
    <t>Fin del viaje</t>
  </si>
  <si>
    <t>salida</t>
  </si>
  <si>
    <t>días intermedios</t>
  </si>
  <si>
    <t>regreso</t>
  </si>
  <si>
    <t>Manutención en territorio extranjero</t>
  </si>
  <si>
    <t>Desde</t>
  </si>
  <si>
    <t>Hasta</t>
  </si>
  <si>
    <t>HORA</t>
  </si>
  <si>
    <t>CONVENIOS DE DOBLE IMPOSICIÓN FIRMADO POR ESPAÑA</t>
  </si>
  <si>
    <t>Ley 26/2014 de 27 de noviembre</t>
  </si>
  <si>
    <t>19%/15%</t>
  </si>
  <si>
    <t>Españoles.A partir del 12 de Julio 2015 es el 15%</t>
  </si>
  <si>
    <t>Trabajo realizado en España por un no residente</t>
  </si>
  <si>
    <t>Extranjeros sin establecimiento permanente</t>
  </si>
  <si>
    <r>
      <t xml:space="preserve">Tiene que cumplir las </t>
    </r>
    <r>
      <rPr>
        <b/>
        <u/>
        <sz val="10"/>
        <rFont val="Arial"/>
        <family val="2"/>
      </rPr>
      <t>tres</t>
    </r>
    <r>
      <rPr>
        <b/>
        <sz val="10"/>
        <rFont val="Arial"/>
        <family val="2"/>
      </rPr>
      <t xml:space="preserve"> condiciones:</t>
    </r>
  </si>
  <si>
    <t>1) Que exista acuerdo de doble imposición.</t>
  </si>
  <si>
    <t>2) Comprobar  en el acuerdo que está exento.</t>
  </si>
  <si>
    <t>3) Que aporte el certificado de residencia fiscal.</t>
  </si>
  <si>
    <t>Si NO aporta el Certificado Fiscal</t>
  </si>
  <si>
    <t>1) Ver acuerdo del Convenio de doble imposición.</t>
  </si>
  <si>
    <r>
      <t xml:space="preserve">2) Si no viene en el acuerdo, con carácter general el </t>
    </r>
    <r>
      <rPr>
        <b/>
        <sz val="10"/>
        <color indexed="10"/>
        <rFont val="Arial"/>
        <family val="2"/>
      </rPr>
      <t>24%</t>
    </r>
  </si>
  <si>
    <t>Resto de contribuyentes.</t>
  </si>
  <si>
    <t xml:space="preserve">AUSTRALIA </t>
  </si>
  <si>
    <t>EUROPA</t>
  </si>
  <si>
    <t>ASIA</t>
  </si>
  <si>
    <t>AMERICA</t>
  </si>
  <si>
    <t>AFRICA</t>
  </si>
  <si>
    <t>OCEANIA</t>
  </si>
  <si>
    <t>CONTINENTES</t>
  </si>
  <si>
    <t>COSTE UNITARIO DIARIO</t>
  </si>
  <si>
    <t>MAS ECONOMICO</t>
  </si>
  <si>
    <t>BORRADOR</t>
  </si>
  <si>
    <t>EXPERIMENTALLINEA2</t>
  </si>
  <si>
    <t>Si no figura en esta relación el país, elija el continente del final de la lista</t>
  </si>
  <si>
    <t>Europa</t>
  </si>
  <si>
    <t>Asia</t>
  </si>
  <si>
    <t>Africa</t>
  </si>
  <si>
    <t>DGP-PIDI-2024</t>
  </si>
  <si>
    <t>SI NO FIGURA EN ESTA RELACIÓN EL PAÍS, ELIJA EL CONTINENTE DEL FINAL DE LA LISTA</t>
  </si>
  <si>
    <t>Oceanía</t>
  </si>
  <si>
    <t>América</t>
  </si>
  <si>
    <t>Los proyectos cuya referencia en UNIVERSITAS XXI figura como DGP PIDI 2024 tienen asignada la orgánica 24. No obstante, es necesario evitar su confusión con aquellos proyectos cuya referencia es ProyExcel, que igualmente utilizan la orgánica 24.
Para los proyectos DGP PIDI 2024, en el formulario de liquidación en Excel deberá seleccionarse en el desplegable “Tipo de proyecto / CONVOCATORIAS” la opción DGP PIDI 2024. Asimismo, los desplazamientos vinculados a estos proyectos se regulan conforme a su normativa específica.
Por su parte, los proyectos ProyExcel se gestionan de acuerdo con la normativa establecida por la Junta.</t>
  </si>
  <si>
    <t>NORMATIVA</t>
  </si>
  <si>
    <t>Renuncie por conceptos cuando salga el importe</t>
  </si>
  <si>
    <t>La sección correspondiente a las dietas deberá completarse de acuerdo con la naturaleza del desplazamiento realizado.</t>
  </si>
  <si>
    <t>El formulario está compuesto por varios cuadros, cada uno con su correspondiente nombre. Para obtener la liquidación de dietas, deberá cumplimentarse en el  orden que se indica a continuación</t>
  </si>
  <si>
    <t>y siguiendo las indicaciones del CUADRO DE  AVISO:</t>
  </si>
  <si>
    <t>Belgica</t>
  </si>
  <si>
    <t>Camerun</t>
  </si>
  <si>
    <t>Canada</t>
  </si>
  <si>
    <t>Emiratos Arabes Unidos</t>
  </si>
  <si>
    <t>Etiopia</t>
  </si>
  <si>
    <t>Gabon</t>
  </si>
  <si>
    <t>Haiti</t>
  </si>
  <si>
    <t>Hungria</t>
  </si>
  <si>
    <t>Iran</t>
  </si>
  <si>
    <t>Japon</t>
  </si>
  <si>
    <t>Libano</t>
  </si>
  <si>
    <t>Mejico</t>
  </si>
  <si>
    <t>Paises Bajos</t>
  </si>
  <si>
    <t>Panama</t>
  </si>
  <si>
    <t>Peru</t>
  </si>
  <si>
    <t>Republica Checa</t>
  </si>
  <si>
    <t>Sudafrica</t>
  </si>
  <si>
    <t>Taiwan</t>
  </si>
  <si>
    <t>Tunez</t>
  </si>
  <si>
    <t>Turquia</t>
  </si>
  <si>
    <t>Pakistan</t>
  </si>
  <si>
    <t>BOLSA:</t>
  </si>
  <si>
    <t>BOLSA EXTRANJERO</t>
  </si>
  <si>
    <r>
      <rPr>
        <b/>
        <i/>
        <sz val="10"/>
        <rFont val="Arial"/>
        <family val="2"/>
      </rPr>
      <t xml:space="preserve">
GASTOS DERIVADOS DE ESTANCIAS EN CENTROS I+D, TOMA DE DATOS O CAMPAÑA DE MUESTREO EN DETERMINADOS PROYECTOS  
</t>
    </r>
    <r>
      <rPr>
        <b/>
        <sz val="10"/>
        <color rgb="FFC00000"/>
        <rFont val="Arial"/>
        <family val="2"/>
      </rPr>
      <t xml:space="preserve">Orden por la que se aprueba la convocatoria de tramitación anticipada para el año 2024 del procedimiento de concesión de ayudas a «Proyectos de Generación de Conocimiento» y a actuaciones para la formación de personal investigador predoctoral asociadas a dichos proyectos, en el marco del Plan Estatal de Investigación Científica, Técnica y de Innovación 2024-2027
</t>
    </r>
    <r>
      <rPr>
        <sz val="10"/>
        <rFont val="Arial"/>
        <family val="2"/>
      </rPr>
      <t xml:space="preserve">
Los importes de manutención y alojamiento estarán limitados a 1.500 euros mensuales (50 euros/día)  en España y 1.950 euros mensuales (65 euros/día) para el extranjero.
Para los cálculos de alojamiento y manutención en estancias de investigación o campañas de muestreo, se utiliza como referencia la fecha de la actividad, es decir, el periodo efectivo de la estancia o campaña.</t>
    </r>
  </si>
  <si>
    <t>Dias de salida</t>
  </si>
  <si>
    <t>dia de regreso</t>
  </si>
  <si>
    <t>Dia de salida</t>
  </si>
  <si>
    <t>Día de regreso</t>
  </si>
  <si>
    <t>DIA DE SALIDA</t>
  </si>
  <si>
    <t>DIA DE REGRESO</t>
  </si>
  <si>
    <t>dia de salida</t>
  </si>
  <si>
    <t>Dia de regreso</t>
  </si>
  <si>
    <t>ACCEDA A LA HOJA “LIQUIDACIÓN DE GASTOS”, GUÁRDELA EN FORMATO PDF Y FÍRMELA PARA SU PRESENTACIÓN.</t>
  </si>
  <si>
    <t>V24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</si>
</sst>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0.00\ &quot;€&quot;;[Red]\-#,##0.00\ &quot;€&quot;"/>
    <numFmt numFmtId="164" formatCode="#,##0.00\ &quot;€&quot;"/>
    <numFmt numFmtId="165" formatCode="d\-m\-yy;@"/>
    <numFmt numFmtId="166" formatCode="dd/mm/yyyy\ "/>
    <numFmt numFmtId="167" formatCode="[$-C0A]d\ &quot;de&quot;\ mmmm\ &quot;de&quot;\ yyyy;@"/>
    <numFmt numFmtId="168" formatCode="h:mm;@"/>
    <numFmt numFmtId="169" formatCode="dd\-mm\-yy;@"/>
    <numFmt numFmtId="170" formatCode="#\ ?/2"/>
    <numFmt numFmtId="171" formatCode="#,##0.00\ _€"/>
    <numFmt numFmtId="172" formatCode="00\ 00\ 00\ 00\ 00"/>
    <numFmt numFmtId="173" formatCode="[h]:mm"/>
    <numFmt numFmtId="174" formatCode="hh:mm"/>
    <numFmt numFmtId="175" formatCode="h:mm:ss;@"/>
    <numFmt numFmtId="176" formatCode="[$-409]h:mm\ AM/PM;@"/>
  </numFmts>
  <fonts count="162" x14ac:knownFonts="1">
    <font>
      <sz val="10"/>
      <name val="Arial"/>
    </font>
    <font>
      <sz val="11"/>
      <color theme="1"/>
      <name val="Calibri"/>
      <family val="2"/>
      <scheme val="minor"/>
    </font>
    <font>
      <sz val="11"/>
      <color theme="1"/>
      <name val="Calibri"/>
      <family val="2"/>
      <scheme val="minor"/>
    </font>
    <font>
      <sz val="10"/>
      <name val="Arial"/>
      <family val="2"/>
    </font>
    <font>
      <sz val="10"/>
      <color indexed="10"/>
      <name val="Arial"/>
      <family val="2"/>
    </font>
    <font>
      <sz val="9"/>
      <name val="Arial"/>
      <family val="2"/>
    </font>
    <font>
      <b/>
      <sz val="11"/>
      <name val="Arial"/>
      <family val="2"/>
    </font>
    <font>
      <b/>
      <sz val="9"/>
      <name val="Arial"/>
      <family val="2"/>
    </font>
    <font>
      <sz val="9"/>
      <color indexed="10"/>
      <name val="Arial"/>
      <family val="2"/>
    </font>
    <font>
      <b/>
      <u/>
      <sz val="10"/>
      <name val="Arial"/>
      <family val="2"/>
    </font>
    <font>
      <b/>
      <sz val="9"/>
      <color indexed="10"/>
      <name val="Arial"/>
      <family val="2"/>
    </font>
    <font>
      <u/>
      <sz val="10"/>
      <color indexed="12"/>
      <name val="Arial"/>
      <family val="2"/>
    </font>
    <font>
      <b/>
      <sz val="8"/>
      <name val="Arial"/>
      <family val="2"/>
    </font>
    <font>
      <sz val="8"/>
      <color indexed="81"/>
      <name val="Tahoma"/>
      <family val="2"/>
    </font>
    <font>
      <b/>
      <sz val="8"/>
      <color indexed="81"/>
      <name val="Tahoma"/>
      <family val="2"/>
    </font>
    <font>
      <sz val="10"/>
      <color indexed="12"/>
      <name val="Arial"/>
      <family val="2"/>
    </font>
    <font>
      <b/>
      <sz val="10"/>
      <name val="Arial"/>
      <family val="2"/>
    </font>
    <font>
      <b/>
      <u/>
      <sz val="9"/>
      <name val="Arial"/>
      <family val="2"/>
    </font>
    <font>
      <sz val="8"/>
      <name val="Arial"/>
      <family val="2"/>
    </font>
    <font>
      <b/>
      <sz val="10"/>
      <color indexed="10"/>
      <name val="Arial"/>
      <family val="2"/>
    </font>
    <font>
      <sz val="11"/>
      <name val="Arial"/>
      <family val="2"/>
    </font>
    <font>
      <b/>
      <sz val="11"/>
      <color indexed="18"/>
      <name val="Arial"/>
      <family val="2"/>
    </font>
    <font>
      <b/>
      <sz val="10"/>
      <color rgb="FFFF0000"/>
      <name val="Arial"/>
      <family val="2"/>
    </font>
    <font>
      <b/>
      <sz val="11"/>
      <color rgb="FFFF0000"/>
      <name val="Arial"/>
      <family val="2"/>
    </font>
    <font>
      <b/>
      <sz val="10"/>
      <color rgb="FF006600"/>
      <name val="Arial"/>
      <family val="2"/>
    </font>
    <font>
      <b/>
      <i/>
      <sz val="9"/>
      <color indexed="9"/>
      <name val="Arial"/>
      <family val="2"/>
    </font>
    <font>
      <b/>
      <sz val="11"/>
      <color rgb="FF000099"/>
      <name val="Arial"/>
      <family val="2"/>
    </font>
    <font>
      <b/>
      <sz val="12"/>
      <name val="Arial"/>
      <family val="2"/>
    </font>
    <font>
      <b/>
      <sz val="12"/>
      <color rgb="FF006600"/>
      <name val="Arial"/>
      <family val="2"/>
    </font>
    <font>
      <b/>
      <sz val="11"/>
      <color rgb="FF006600"/>
      <name val="Arial"/>
      <family val="2"/>
    </font>
    <font>
      <b/>
      <sz val="12"/>
      <color indexed="18"/>
      <name val="Arial"/>
      <family val="2"/>
    </font>
    <font>
      <b/>
      <sz val="11"/>
      <color rgb="FF000080"/>
      <name val="Arial"/>
      <family val="2"/>
    </font>
    <font>
      <sz val="9"/>
      <color indexed="81"/>
      <name val="Tahoma"/>
      <family val="2"/>
    </font>
    <font>
      <b/>
      <sz val="9"/>
      <color indexed="81"/>
      <name val="Tahoma"/>
      <family val="2"/>
    </font>
    <font>
      <b/>
      <sz val="9"/>
      <color rgb="FFFF0000"/>
      <name val="Arial"/>
      <family val="2"/>
    </font>
    <font>
      <sz val="9"/>
      <color rgb="FFFF0000"/>
      <name val="Arial"/>
      <family val="2"/>
    </font>
    <font>
      <b/>
      <sz val="9"/>
      <color indexed="10"/>
      <name val="Tahoma"/>
      <family val="2"/>
    </font>
    <font>
      <sz val="12"/>
      <name val="Arial"/>
      <family val="2"/>
    </font>
    <font>
      <b/>
      <sz val="10"/>
      <color indexed="10"/>
      <name val="Tahoma"/>
      <family val="2"/>
    </font>
    <font>
      <b/>
      <sz val="10"/>
      <color indexed="81"/>
      <name val="Tahoma"/>
      <family val="2"/>
    </font>
    <font>
      <sz val="12"/>
      <name val="Calibri"/>
      <family val="2"/>
      <scheme val="minor"/>
    </font>
    <font>
      <b/>
      <sz val="14"/>
      <color rgb="FF006600"/>
      <name val="Calibri"/>
      <family val="2"/>
      <scheme val="minor"/>
    </font>
    <font>
      <b/>
      <sz val="12"/>
      <color rgb="FF006600"/>
      <name val="Calibri"/>
      <family val="2"/>
      <scheme val="minor"/>
    </font>
    <font>
      <b/>
      <sz val="10"/>
      <color rgb="FF000080"/>
      <name val="Arial"/>
      <family val="2"/>
    </font>
    <font>
      <b/>
      <sz val="10"/>
      <color rgb="FF000099"/>
      <name val="Arial"/>
      <family val="2"/>
    </font>
    <font>
      <b/>
      <sz val="12"/>
      <color rgb="FF000099"/>
      <name val="Arial"/>
      <family val="2"/>
    </font>
    <font>
      <b/>
      <sz val="8"/>
      <color indexed="10"/>
      <name val="Tahoma"/>
      <family val="2"/>
    </font>
    <font>
      <sz val="10"/>
      <color rgb="FFFF0000"/>
      <name val="Arial"/>
      <family val="2"/>
    </font>
    <font>
      <b/>
      <u/>
      <sz val="10"/>
      <name val="Calibri"/>
      <family val="2"/>
    </font>
    <font>
      <sz val="10"/>
      <name val="Calibri"/>
      <family val="2"/>
    </font>
    <font>
      <sz val="10"/>
      <color rgb="FF000099"/>
      <name val="Arial"/>
      <family val="2"/>
    </font>
    <font>
      <sz val="10"/>
      <color theme="0"/>
      <name val="Arial"/>
      <family val="2"/>
    </font>
    <font>
      <b/>
      <sz val="8"/>
      <color indexed="32"/>
      <name val="Tahoma"/>
      <family val="2"/>
    </font>
    <font>
      <b/>
      <sz val="14"/>
      <name val="Arial"/>
      <family val="2"/>
    </font>
    <font>
      <b/>
      <sz val="10"/>
      <color rgb="FFA50021"/>
      <name val="Arial"/>
      <family val="2"/>
    </font>
    <font>
      <b/>
      <sz val="12"/>
      <color rgb="FFFF0000"/>
      <name val="Arial"/>
      <family val="2"/>
    </font>
    <font>
      <b/>
      <sz val="14"/>
      <color rgb="FFFF0000"/>
      <name val="Arial"/>
      <family val="2"/>
    </font>
    <font>
      <b/>
      <sz val="11"/>
      <color rgb="FFA50021"/>
      <name val="Arial"/>
      <family val="2"/>
    </font>
    <font>
      <b/>
      <sz val="9"/>
      <color indexed="32"/>
      <name val="Tahoma"/>
      <family val="2"/>
    </font>
    <font>
      <sz val="10"/>
      <color rgb="FFA50021"/>
      <name val="Arial"/>
      <family val="2"/>
    </font>
    <font>
      <sz val="12"/>
      <color rgb="FFA50021"/>
      <name val="Arial"/>
      <family val="2"/>
    </font>
    <font>
      <b/>
      <sz val="11"/>
      <color theme="1"/>
      <name val="Calibri"/>
      <family val="2"/>
      <scheme val="minor"/>
    </font>
    <font>
      <b/>
      <sz val="12"/>
      <color rgb="FFA50021"/>
      <name val="Arial"/>
      <family val="2"/>
    </font>
    <font>
      <b/>
      <sz val="9"/>
      <color indexed="37"/>
      <name val="Tahoma"/>
      <family val="2"/>
    </font>
    <font>
      <b/>
      <u/>
      <sz val="9"/>
      <color indexed="81"/>
      <name val="Tahoma"/>
      <family val="2"/>
    </font>
    <font>
      <b/>
      <sz val="12"/>
      <color indexed="12"/>
      <name val="Arial"/>
      <family val="2"/>
    </font>
    <font>
      <sz val="11"/>
      <color rgb="FFA50021"/>
      <name val="Arial"/>
      <family val="2"/>
    </font>
    <font>
      <b/>
      <sz val="11"/>
      <name val="Calibri"/>
      <family val="2"/>
    </font>
    <font>
      <u/>
      <sz val="10"/>
      <name val="Arial"/>
      <family val="2"/>
    </font>
    <font>
      <sz val="10"/>
      <color rgb="FF990000"/>
      <name val="Arial"/>
      <family val="2"/>
    </font>
    <font>
      <sz val="10"/>
      <color rgb="FF0000CC"/>
      <name val="Arial"/>
      <family val="2"/>
    </font>
    <font>
      <sz val="10"/>
      <color rgb="FF006600"/>
      <name val="Arial"/>
      <family val="2"/>
    </font>
    <font>
      <b/>
      <i/>
      <sz val="9"/>
      <name val="Arial"/>
      <family val="2"/>
    </font>
    <font>
      <b/>
      <i/>
      <sz val="10"/>
      <name val="Arial"/>
      <family val="2"/>
    </font>
    <font>
      <b/>
      <sz val="12"/>
      <name val="Calibri"/>
      <family val="2"/>
    </font>
    <font>
      <sz val="10"/>
      <color theme="9" tint="-0.249977111117893"/>
      <name val="Arial"/>
      <family val="2"/>
    </font>
    <font>
      <b/>
      <sz val="10"/>
      <color theme="0"/>
      <name val="Arial"/>
      <family val="2"/>
    </font>
    <font>
      <b/>
      <i/>
      <u/>
      <sz val="10"/>
      <color rgb="FFA50021"/>
      <name val="Arial"/>
      <family val="2"/>
    </font>
    <font>
      <sz val="10"/>
      <color rgb="FF0033CC"/>
      <name val="Arial"/>
      <family val="2"/>
    </font>
    <font>
      <sz val="11"/>
      <color theme="0" tint="-4.9989318521683403E-2"/>
      <name val="Arial"/>
      <family val="2"/>
    </font>
    <font>
      <b/>
      <sz val="11"/>
      <color rgb="FFC00000"/>
      <name val="Arial"/>
      <family val="2"/>
    </font>
    <font>
      <b/>
      <sz val="11"/>
      <color rgb="FF365F91"/>
      <name val="Calibri"/>
      <family val="2"/>
      <scheme val="minor"/>
    </font>
    <font>
      <b/>
      <sz val="11"/>
      <color rgb="FF006600"/>
      <name val="Calibri"/>
      <family val="2"/>
      <scheme val="minor"/>
    </font>
    <font>
      <sz val="10"/>
      <name val="Calibri"/>
      <family val="2"/>
      <scheme val="minor"/>
    </font>
    <font>
      <b/>
      <sz val="10"/>
      <color rgb="FFC00000"/>
      <name val="Arial"/>
      <family val="2"/>
    </font>
    <font>
      <b/>
      <sz val="12"/>
      <color rgb="FF990000"/>
      <name val="Arial"/>
      <family val="2"/>
    </font>
    <font>
      <b/>
      <sz val="10"/>
      <color rgb="FF990000"/>
      <name val="Arial"/>
      <family val="2"/>
    </font>
    <font>
      <sz val="14"/>
      <color rgb="FF000080"/>
      <name val="Arial"/>
      <family val="2"/>
    </font>
    <font>
      <sz val="14"/>
      <color rgb="FF000099"/>
      <name val="Arial"/>
      <family val="2"/>
    </font>
    <font>
      <b/>
      <sz val="16"/>
      <name val="Arial"/>
      <family val="2"/>
    </font>
    <font>
      <b/>
      <sz val="12"/>
      <color theme="1"/>
      <name val="Calibri"/>
      <family val="2"/>
      <scheme val="minor"/>
    </font>
    <font>
      <b/>
      <sz val="12"/>
      <color theme="1"/>
      <name val="Arial"/>
      <family val="2"/>
    </font>
    <font>
      <sz val="12"/>
      <color theme="1"/>
      <name val="Arial"/>
      <family val="2"/>
    </font>
    <font>
      <sz val="12"/>
      <color rgb="FF000080"/>
      <name val="Arial"/>
      <family val="2"/>
    </font>
    <font>
      <b/>
      <sz val="12"/>
      <color rgb="FF000080"/>
      <name val="Arial"/>
      <family val="2"/>
    </font>
    <font>
      <b/>
      <sz val="12"/>
      <color rgb="FFC00000"/>
      <name val="Arial"/>
      <family val="2"/>
    </font>
    <font>
      <b/>
      <sz val="14"/>
      <color rgb="FF000080"/>
      <name val="Arial"/>
      <family val="2"/>
    </font>
    <font>
      <b/>
      <sz val="14"/>
      <color rgb="FF006600"/>
      <name val="Arial"/>
      <family val="2"/>
    </font>
    <font>
      <sz val="10"/>
      <color rgb="FFC00000"/>
      <name val="Arial"/>
      <family val="2"/>
    </font>
    <font>
      <sz val="12"/>
      <color rgb="FF006600"/>
      <name val="Arial"/>
      <family val="2"/>
    </font>
    <font>
      <b/>
      <sz val="14"/>
      <color rgb="FF990000"/>
      <name val="Arial"/>
      <family val="2"/>
    </font>
    <font>
      <sz val="11"/>
      <color rgb="FF000080"/>
      <name val="Arial"/>
      <family val="2"/>
    </font>
    <font>
      <sz val="10"/>
      <color rgb="FF0070C0"/>
      <name val="Arial"/>
      <family val="2"/>
    </font>
    <font>
      <b/>
      <sz val="7"/>
      <name val="Calibri"/>
      <family val="2"/>
      <scheme val="minor"/>
    </font>
    <font>
      <u/>
      <sz val="7"/>
      <color indexed="12"/>
      <name val="Calibri"/>
      <family val="2"/>
      <scheme val="minor"/>
    </font>
    <font>
      <b/>
      <sz val="10"/>
      <color rgb="FF242424"/>
      <name val="Arial"/>
      <family val="2"/>
    </font>
    <font>
      <sz val="8"/>
      <color rgb="FF000000"/>
      <name val="Arial"/>
      <family val="2"/>
    </font>
    <font>
      <sz val="12"/>
      <name val="Aptos"/>
      <family val="2"/>
    </font>
    <font>
      <b/>
      <sz val="9"/>
      <color rgb="FFC00000"/>
      <name val="Arial"/>
      <family val="2"/>
    </font>
    <font>
      <b/>
      <sz val="9"/>
      <color rgb="FF000099"/>
      <name val="Arial"/>
      <family val="2"/>
    </font>
    <font>
      <sz val="9"/>
      <color rgb="FFC00000"/>
      <name val="Arial"/>
      <family val="2"/>
    </font>
    <font>
      <b/>
      <sz val="10"/>
      <color rgb="FFB00000"/>
      <name val="Arial"/>
      <family val="2"/>
    </font>
    <font>
      <b/>
      <sz val="9"/>
      <color rgb="FFB00000"/>
      <name val="Arial"/>
      <family val="2"/>
    </font>
    <font>
      <b/>
      <u/>
      <sz val="10"/>
      <color rgb="FFC00000"/>
      <name val="Arial"/>
      <family val="2"/>
    </font>
    <font>
      <b/>
      <sz val="9"/>
      <color theme="0"/>
      <name val="Arial"/>
      <family val="2"/>
    </font>
    <font>
      <sz val="9"/>
      <color rgb="FF000099"/>
      <name val="Arial"/>
      <family val="2"/>
    </font>
    <font>
      <sz val="10"/>
      <name val="Aptos"/>
      <family val="2"/>
    </font>
    <font>
      <b/>
      <sz val="10"/>
      <name val="Aptos"/>
      <family val="2"/>
    </font>
    <font>
      <sz val="7"/>
      <name val="Arial"/>
      <family val="2"/>
    </font>
    <font>
      <b/>
      <sz val="7"/>
      <name val="Arial"/>
      <family val="2"/>
    </font>
    <font>
      <sz val="9"/>
      <color theme="0"/>
      <name val="Arial"/>
      <family val="2"/>
    </font>
    <font>
      <b/>
      <i/>
      <u/>
      <sz val="10"/>
      <name val="Arial"/>
      <family val="2"/>
    </font>
    <font>
      <b/>
      <sz val="9"/>
      <name val="Calibri"/>
      <family val="2"/>
    </font>
    <font>
      <sz val="11"/>
      <color rgb="FFFF0000"/>
      <name val="Calibri"/>
      <family val="2"/>
      <scheme val="minor"/>
    </font>
    <font>
      <b/>
      <sz val="8"/>
      <color theme="1"/>
      <name val="Segoe UI"/>
      <family val="2"/>
    </font>
    <font>
      <sz val="8"/>
      <color theme="1"/>
      <name val="Segoe UI"/>
      <family val="2"/>
    </font>
    <font>
      <sz val="12"/>
      <color theme="1"/>
      <name val="Aptos"/>
      <family val="2"/>
    </font>
    <font>
      <b/>
      <sz val="12"/>
      <color theme="1"/>
      <name val="Aptos"/>
      <family val="2"/>
    </font>
    <font>
      <sz val="11"/>
      <name val="Calibri"/>
      <family val="2"/>
      <scheme val="minor"/>
    </font>
    <font>
      <b/>
      <sz val="12"/>
      <name val="Aptos"/>
      <family val="2"/>
    </font>
    <font>
      <b/>
      <sz val="11"/>
      <color rgb="FFFF0000"/>
      <name val="Calibri"/>
      <family val="2"/>
      <scheme val="minor"/>
    </font>
    <font>
      <b/>
      <sz val="11"/>
      <color rgb="FF000099"/>
      <name val="Calibri"/>
      <family val="2"/>
      <scheme val="minor"/>
    </font>
    <font>
      <b/>
      <sz val="11"/>
      <name val="Calibri"/>
      <family val="2"/>
      <scheme val="minor"/>
    </font>
    <font>
      <sz val="12"/>
      <color rgb="FFC00000"/>
      <name val="Aptos"/>
      <family val="2"/>
    </font>
    <font>
      <b/>
      <sz val="10"/>
      <color theme="6" tint="-0.499984740745262"/>
      <name val="Arial"/>
      <family val="2"/>
    </font>
    <font>
      <b/>
      <sz val="10"/>
      <color theme="1"/>
      <name val="Arial"/>
      <family val="2"/>
    </font>
    <font>
      <b/>
      <i/>
      <sz val="12"/>
      <color rgb="FFC00000"/>
      <name val="Arial"/>
      <family val="2"/>
    </font>
    <font>
      <b/>
      <i/>
      <sz val="12"/>
      <color rgb="FFB00000"/>
      <name val="Arial"/>
      <family val="2"/>
    </font>
    <font>
      <b/>
      <i/>
      <sz val="10"/>
      <color rgb="FFB00000"/>
      <name val="Calibri"/>
      <family val="2"/>
      <scheme val="minor"/>
    </font>
    <font>
      <b/>
      <i/>
      <sz val="11"/>
      <color rgb="FFB00000"/>
      <name val="Arial"/>
      <family val="2"/>
    </font>
    <font>
      <b/>
      <sz val="14"/>
      <color rgb="FFC00000"/>
      <name val="Arial"/>
      <family val="2"/>
    </font>
    <font>
      <b/>
      <i/>
      <sz val="10"/>
      <color rgb="FFB00000"/>
      <name val="Arial"/>
      <family val="2"/>
    </font>
    <font>
      <b/>
      <i/>
      <sz val="8"/>
      <color rgb="FFB00000"/>
      <name val="Arial"/>
      <family val="2"/>
    </font>
    <font>
      <sz val="10"/>
      <color rgb="FFB00000"/>
      <name val="Arial"/>
      <family val="2"/>
    </font>
    <font>
      <b/>
      <i/>
      <sz val="10"/>
      <color rgb="FFC00000"/>
      <name val="Arial"/>
      <family val="2"/>
    </font>
    <font>
      <u/>
      <sz val="8"/>
      <color indexed="12"/>
      <name val="Arial"/>
      <family val="2"/>
    </font>
    <font>
      <b/>
      <i/>
      <sz val="11"/>
      <name val="Arial"/>
      <family val="2"/>
    </font>
    <font>
      <b/>
      <i/>
      <u/>
      <sz val="10"/>
      <color rgb="FFC00000"/>
      <name val="Arial"/>
      <family val="2"/>
    </font>
    <font>
      <b/>
      <sz val="9"/>
      <color rgb="FF000000"/>
      <name val="Tahoma"/>
      <family val="2"/>
    </font>
    <font>
      <sz val="9"/>
      <color rgb="FF000000"/>
      <name val="Tahoma"/>
      <family val="2"/>
    </font>
    <font>
      <b/>
      <sz val="10"/>
      <color theme="6" tint="-0.249977111117893"/>
      <name val="Arial"/>
      <family val="2"/>
    </font>
    <font>
      <b/>
      <sz val="10"/>
      <color rgb="FF00B050"/>
      <name val="Arial"/>
      <family val="2"/>
    </font>
    <font>
      <sz val="9"/>
      <color rgb="FF000000"/>
      <name val="Arial"/>
      <family val="2"/>
    </font>
    <font>
      <sz val="9"/>
      <color theme="9" tint="-0.249977111117893"/>
      <name val="Arial"/>
      <family val="2"/>
    </font>
    <font>
      <b/>
      <sz val="8"/>
      <color rgb="FFC00000"/>
      <name val="Arial"/>
      <family val="2"/>
    </font>
    <font>
      <i/>
      <sz val="11"/>
      <name val="Arial"/>
      <family val="2"/>
    </font>
    <font>
      <b/>
      <sz val="9"/>
      <color rgb="FF800000"/>
      <name val="Tahoma"/>
      <family val="2"/>
    </font>
    <font>
      <b/>
      <i/>
      <sz val="9"/>
      <color rgb="FFB00000"/>
      <name val="Arial"/>
      <family val="2"/>
    </font>
    <font>
      <b/>
      <sz val="12"/>
      <color rgb="FFB00000"/>
      <name val="Arial"/>
      <family val="2"/>
    </font>
    <font>
      <b/>
      <i/>
      <sz val="11"/>
      <color rgb="FFC00000"/>
      <name val="Arial"/>
      <family val="2"/>
    </font>
    <font>
      <sz val="10"/>
      <color indexed="10"/>
      <name val="Tahoma"/>
      <family val="2"/>
    </font>
    <font>
      <sz val="9"/>
      <color rgb="FFB00000"/>
      <name val="Arial"/>
      <family val="2"/>
    </font>
  </fonts>
  <fills count="41">
    <fill>
      <patternFill patternType="none"/>
    </fill>
    <fill>
      <patternFill patternType="gray125"/>
    </fill>
    <fill>
      <patternFill patternType="solid">
        <fgColor theme="9"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
      <patternFill patternType="solid">
        <fgColor rgb="FF000080"/>
        <bgColor indexed="64"/>
      </patternFill>
    </fill>
    <fill>
      <patternFill patternType="solid">
        <fgColor rgb="FFFFFF66"/>
        <bgColor indexed="64"/>
      </patternFill>
    </fill>
    <fill>
      <patternFill patternType="solid">
        <fgColor rgb="FFC00000"/>
        <bgColor indexed="64"/>
      </patternFill>
    </fill>
    <fill>
      <patternFill patternType="solid">
        <fgColor rgb="FFF1F5E7"/>
        <bgColor indexed="64"/>
      </patternFill>
    </fill>
    <fill>
      <patternFill patternType="solid">
        <fgColor theme="0" tint="-4.9989318521683403E-2"/>
        <bgColor indexed="64"/>
      </patternFill>
    </fill>
    <fill>
      <patternFill patternType="solid">
        <fgColor rgb="FF006600"/>
        <bgColor indexed="64"/>
      </patternFill>
    </fill>
    <fill>
      <patternFill patternType="solid">
        <fgColor rgb="FF990000"/>
        <bgColor indexed="64"/>
      </patternFill>
    </fill>
    <fill>
      <patternFill patternType="solid">
        <fgColor indexed="47"/>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FFCC"/>
        <bgColor indexed="64"/>
      </patternFill>
    </fill>
    <fill>
      <patternFill patternType="solid">
        <fgColor theme="5" tint="0.79998168889431442"/>
        <bgColor indexed="64"/>
      </patternFill>
    </fill>
    <fill>
      <patternFill patternType="solid">
        <fgColor theme="2"/>
        <bgColor indexed="64"/>
      </patternFill>
    </fill>
    <fill>
      <gradientFill degree="90">
        <stop position="0">
          <color theme="0"/>
        </stop>
        <stop position="1">
          <color theme="4" tint="0.59999389629810485"/>
        </stop>
      </gradient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7030A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FFE5E5"/>
        <bgColor indexed="64"/>
      </patternFill>
    </fill>
    <fill>
      <patternFill patternType="solid">
        <fgColor rgb="FFFFEFEF"/>
        <bgColor indexed="64"/>
      </patternFill>
    </fill>
    <fill>
      <patternFill patternType="solid">
        <fgColor theme="2" tint="-0.249977111117893"/>
        <bgColor indexed="64"/>
      </patternFill>
    </fill>
    <fill>
      <patternFill patternType="solid">
        <fgColor rgb="FFFEFFE5"/>
        <bgColor indexed="64"/>
      </patternFill>
    </fill>
    <fill>
      <patternFill patternType="solid">
        <fgColor rgb="FFDEEAF6"/>
      </patternFill>
    </fill>
    <fill>
      <patternFill patternType="solid">
        <fgColor rgb="FFF8FDBB"/>
        <bgColor indexed="64"/>
      </patternFill>
    </fill>
    <fill>
      <patternFill patternType="solid">
        <fgColor rgb="FFFFCCCC"/>
        <bgColor indexed="64"/>
      </patternFill>
    </fill>
    <fill>
      <patternFill patternType="solid">
        <fgColor theme="6"/>
        <bgColor indexed="64"/>
      </patternFill>
    </fill>
    <fill>
      <patternFill patternType="solid">
        <fgColor rgb="FF00B050"/>
        <bgColor indexed="64"/>
      </patternFill>
    </fill>
    <fill>
      <patternFill patternType="solid">
        <fgColor rgb="FFB00000"/>
        <bgColor indexed="64"/>
      </patternFill>
    </fill>
  </fills>
  <borders count="15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style="thin">
        <color indexed="64"/>
      </top>
      <bottom style="thin">
        <color indexed="64"/>
      </bottom>
      <diagonal/>
    </border>
    <border>
      <left/>
      <right style="thin">
        <color indexed="64"/>
      </right>
      <top/>
      <bottom/>
      <diagonal/>
    </border>
    <border>
      <left/>
      <right/>
      <top style="hair">
        <color indexed="64"/>
      </top>
      <bottom/>
      <diagonal/>
    </border>
    <border>
      <left/>
      <right/>
      <top/>
      <bottom style="dashed">
        <color auto="1"/>
      </bottom>
      <diagonal/>
    </border>
    <border>
      <left/>
      <right/>
      <top style="thin">
        <color indexed="64"/>
      </top>
      <bottom style="dashed">
        <color auto="1"/>
      </bottom>
      <diagonal/>
    </border>
    <border>
      <left/>
      <right/>
      <top style="dashed">
        <color auto="1"/>
      </top>
      <bottom style="dashed">
        <color auto="1"/>
      </bottom>
      <diagonal/>
    </border>
    <border>
      <left/>
      <right/>
      <top style="dashed">
        <color auto="1"/>
      </top>
      <bottom/>
      <diagonal/>
    </border>
    <border>
      <left style="thin">
        <color indexed="64"/>
      </left>
      <right/>
      <top/>
      <bottom/>
      <diagonal/>
    </border>
    <border>
      <left style="thin">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double">
        <color indexed="64"/>
      </right>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right style="double">
        <color indexed="64"/>
      </right>
      <top/>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hair">
        <color indexed="64"/>
      </top>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double">
        <color indexed="64"/>
      </bottom>
      <diagonal/>
    </border>
    <border>
      <left style="hair">
        <color indexed="64"/>
      </left>
      <right style="double">
        <color indexed="64"/>
      </right>
      <top style="hair">
        <color indexed="64"/>
      </top>
      <bottom style="thin">
        <color indexed="64"/>
      </bottom>
      <diagonal/>
    </border>
    <border>
      <left style="hair">
        <color indexed="64"/>
      </left>
      <right style="hair">
        <color indexed="64"/>
      </right>
      <top/>
      <bottom style="thin">
        <color indexed="64"/>
      </bottom>
      <diagonal/>
    </border>
    <border>
      <left style="double">
        <color indexed="64"/>
      </left>
      <right style="hair">
        <color indexed="64"/>
      </right>
      <top style="hair">
        <color indexed="64"/>
      </top>
      <bottom style="thin">
        <color indexed="64"/>
      </bottom>
      <diagonal/>
    </border>
    <border>
      <left/>
      <right style="thin">
        <color rgb="FFCCCCCC"/>
      </right>
      <top style="thin">
        <color rgb="FFCCCCCC"/>
      </top>
      <bottom style="thin">
        <color rgb="FFCCCCCC"/>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rgb="FFCCCCCC"/>
      </top>
      <bottom style="thin">
        <color rgb="FFCCCCCC"/>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rgb="FF000099"/>
      </left>
      <right/>
      <top style="double">
        <color rgb="FF000099"/>
      </top>
      <bottom/>
      <diagonal/>
    </border>
    <border>
      <left/>
      <right/>
      <top style="double">
        <color rgb="FF000099"/>
      </top>
      <bottom/>
      <diagonal/>
    </border>
    <border>
      <left/>
      <right style="double">
        <color rgb="FF000099"/>
      </right>
      <top style="double">
        <color rgb="FF000099"/>
      </top>
      <bottom/>
      <diagonal/>
    </border>
    <border>
      <left style="double">
        <color rgb="FF000099"/>
      </left>
      <right/>
      <top/>
      <bottom/>
      <diagonal/>
    </border>
    <border>
      <left/>
      <right style="double">
        <color rgb="FF000099"/>
      </right>
      <top/>
      <bottom/>
      <diagonal/>
    </border>
    <border>
      <left style="double">
        <color rgb="FF000099"/>
      </left>
      <right/>
      <top/>
      <bottom style="medium">
        <color indexed="64"/>
      </bottom>
      <diagonal/>
    </border>
    <border>
      <left/>
      <right style="double">
        <color rgb="FF000099"/>
      </right>
      <top/>
      <bottom style="medium">
        <color indexed="64"/>
      </bottom>
      <diagonal/>
    </border>
    <border>
      <left style="double">
        <color rgb="FF000099"/>
      </left>
      <right/>
      <top style="medium">
        <color indexed="64"/>
      </top>
      <bottom/>
      <diagonal/>
    </border>
    <border>
      <left/>
      <right style="double">
        <color rgb="FF000099"/>
      </right>
      <top style="medium">
        <color indexed="64"/>
      </top>
      <bottom/>
      <diagonal/>
    </border>
    <border>
      <left style="double">
        <color rgb="FF000099"/>
      </left>
      <right/>
      <top style="thin">
        <color indexed="64"/>
      </top>
      <bottom/>
      <diagonal/>
    </border>
    <border>
      <left style="double">
        <color rgb="FF000099"/>
      </left>
      <right/>
      <top/>
      <bottom style="thin">
        <color indexed="64"/>
      </bottom>
      <diagonal/>
    </border>
    <border>
      <left/>
      <right style="double">
        <color rgb="FF000099"/>
      </right>
      <top style="medium">
        <color indexed="64"/>
      </top>
      <bottom style="thin">
        <color indexed="64"/>
      </bottom>
      <diagonal/>
    </border>
    <border>
      <left/>
      <right style="double">
        <color rgb="FF000099"/>
      </right>
      <top style="thin">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99999"/>
      </left>
      <right style="thin">
        <color rgb="FF999999"/>
      </right>
      <top style="thin">
        <color rgb="FF999999"/>
      </top>
      <bottom style="thin">
        <color rgb="FF999999"/>
      </bottom>
      <diagonal/>
    </border>
    <border>
      <left style="thin">
        <color theme="1"/>
      </left>
      <right/>
      <top style="thin">
        <color theme="1"/>
      </top>
      <bottom style="thin">
        <color theme="1"/>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double">
        <color rgb="FF000099"/>
      </right>
      <top style="medium">
        <color indexed="64"/>
      </top>
      <bottom style="thin">
        <color indexed="64"/>
      </bottom>
      <diagonal/>
    </border>
    <border>
      <left/>
      <right style="double">
        <color rgb="FF000099"/>
      </right>
      <top style="thin">
        <color indexed="64"/>
      </top>
      <bottom/>
      <diagonal/>
    </border>
    <border>
      <left/>
      <right style="double">
        <color rgb="FF000099"/>
      </right>
      <top/>
      <bottom style="thin">
        <color indexed="64"/>
      </bottom>
      <diagonal/>
    </border>
    <border>
      <left style="double">
        <color rgb="FF000099"/>
      </left>
      <right/>
      <top style="thin">
        <color indexed="64"/>
      </top>
      <bottom style="thin">
        <color indexed="64"/>
      </bottom>
      <diagonal/>
    </border>
    <border>
      <left style="double">
        <color rgb="FF000099"/>
      </left>
      <right/>
      <top/>
      <bottom style="double">
        <color rgb="FF000099"/>
      </bottom>
      <diagonal/>
    </border>
    <border>
      <left/>
      <right/>
      <top/>
      <bottom style="double">
        <color rgb="FF000099"/>
      </bottom>
      <diagonal/>
    </border>
    <border>
      <left/>
      <right style="double">
        <color rgb="FF000099"/>
      </right>
      <top/>
      <bottom style="double">
        <color rgb="FF000099"/>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theme="1"/>
      </top>
      <bottom/>
      <diagonal/>
    </border>
    <border>
      <left style="medium">
        <color indexed="64"/>
      </left>
      <right style="medium">
        <color indexed="64"/>
      </right>
      <top/>
      <bottom style="thin">
        <color theme="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2" fillId="0" borderId="0"/>
  </cellStyleXfs>
  <cellXfs count="1920">
    <xf numFmtId="0" fontId="0" fillId="0" borderId="0" xfId="0"/>
    <xf numFmtId="0" fontId="0" fillId="0" borderId="0" xfId="0" applyProtection="1">
      <protection locked="0"/>
    </xf>
    <xf numFmtId="0" fontId="0" fillId="0" borderId="0" xfId="0" applyAlignment="1">
      <alignment horizontal="left"/>
    </xf>
    <xf numFmtId="0" fontId="16" fillId="0" borderId="0" xfId="0" applyFont="1"/>
    <xf numFmtId="0" fontId="16" fillId="0" borderId="0" xfId="0" applyFont="1" applyAlignment="1">
      <alignment wrapText="1"/>
    </xf>
    <xf numFmtId="0" fontId="0" fillId="0" borderId="0" xfId="0" applyAlignment="1">
      <alignment wrapText="1"/>
    </xf>
    <xf numFmtId="0" fontId="16" fillId="0" borderId="0" xfId="0" applyFont="1" applyProtection="1">
      <protection hidden="1"/>
    </xf>
    <xf numFmtId="0" fontId="0" fillId="0" borderId="0" xfId="0" applyProtection="1">
      <protection hidden="1"/>
    </xf>
    <xf numFmtId="8" fontId="7" fillId="0" borderId="0" xfId="0" applyNumberFormat="1" applyFont="1" applyProtection="1">
      <protection hidden="1"/>
    </xf>
    <xf numFmtId="0" fontId="6" fillId="0" borderId="0" xfId="0" applyFont="1" applyProtection="1">
      <protection hidden="1"/>
    </xf>
    <xf numFmtId="0" fontId="5" fillId="0" borderId="0" xfId="0" applyFont="1" applyProtection="1">
      <protection hidden="1"/>
    </xf>
    <xf numFmtId="0" fontId="5" fillId="0" borderId="0" xfId="0" applyFont="1" applyAlignment="1" applyProtection="1">
      <alignment horizontal="right"/>
      <protection hidden="1"/>
    </xf>
    <xf numFmtId="0" fontId="7" fillId="0" borderId="0" xfId="0" applyFont="1" applyProtection="1">
      <protection hidden="1"/>
    </xf>
    <xf numFmtId="0" fontId="7" fillId="0" borderId="0" xfId="0" applyFont="1" applyAlignment="1" applyProtection="1">
      <alignment horizontal="right"/>
      <protection hidden="1"/>
    </xf>
    <xf numFmtId="0" fontId="11" fillId="0" borderId="0" xfId="1" applyAlignment="1" applyProtection="1">
      <protection hidden="1"/>
    </xf>
    <xf numFmtId="0" fontId="3" fillId="0" borderId="0" xfId="0" applyFont="1" applyProtection="1">
      <protection hidden="1"/>
    </xf>
    <xf numFmtId="0" fontId="10" fillId="0" borderId="0" xfId="0" applyFont="1" applyAlignment="1" applyProtection="1">
      <alignment horizontal="right"/>
      <protection hidden="1"/>
    </xf>
    <xf numFmtId="0" fontId="6" fillId="0" borderId="0" xfId="0" applyFont="1" applyAlignment="1" applyProtection="1">
      <alignment horizontal="right"/>
      <protection hidden="1"/>
    </xf>
    <xf numFmtId="0" fontId="16" fillId="0" borderId="0" xfId="0" applyFont="1" applyAlignment="1" applyProtection="1">
      <alignment horizontal="right"/>
      <protection hidden="1"/>
    </xf>
    <xf numFmtId="164" fontId="0" fillId="0" borderId="0" xfId="0" applyNumberFormat="1" applyProtection="1">
      <protection hidden="1"/>
    </xf>
    <xf numFmtId="0" fontId="0" fillId="0" borderId="0" xfId="0" applyAlignment="1" applyProtection="1">
      <alignment horizontal="left"/>
      <protection hidden="1"/>
    </xf>
    <xf numFmtId="0" fontId="18" fillId="0" borderId="0" xfId="0" applyFont="1" applyProtection="1">
      <protection hidden="1"/>
    </xf>
    <xf numFmtId="0" fontId="12" fillId="0" borderId="0" xfId="0" applyFont="1" applyAlignment="1" applyProtection="1">
      <alignment horizontal="center"/>
      <protection hidden="1"/>
    </xf>
    <xf numFmtId="0" fontId="20" fillId="0" borderId="0" xfId="0" applyFont="1" applyProtection="1">
      <protection hidden="1"/>
    </xf>
    <xf numFmtId="164" fontId="6" fillId="0" borderId="1" xfId="0" applyNumberFormat="1" applyFont="1" applyBorder="1" applyProtection="1">
      <protection hidden="1"/>
    </xf>
    <xf numFmtId="0" fontId="6" fillId="0" borderId="0" xfId="0" applyFont="1" applyAlignment="1" applyProtection="1">
      <alignment horizontal="left"/>
      <protection hidden="1"/>
    </xf>
    <xf numFmtId="0" fontId="22" fillId="0" borderId="0" xfId="0" applyFont="1" applyProtection="1">
      <protection hidden="1"/>
    </xf>
    <xf numFmtId="0" fontId="20" fillId="0" borderId="9" xfId="0" applyFont="1" applyBorder="1" applyProtection="1">
      <protection locked="0"/>
    </xf>
    <xf numFmtId="164" fontId="6" fillId="0" borderId="1" xfId="0" applyNumberFormat="1" applyFont="1" applyBorder="1" applyAlignment="1" applyProtection="1">
      <alignment horizontal="right"/>
      <protection hidden="1"/>
    </xf>
    <xf numFmtId="0" fontId="16" fillId="0" borderId="0" xfId="0" applyFont="1" applyAlignment="1" applyProtection="1">
      <alignment horizontal="center"/>
      <protection hidden="1"/>
    </xf>
    <xf numFmtId="0" fontId="6" fillId="0" borderId="0" xfId="0" applyFont="1" applyAlignment="1" applyProtection="1">
      <alignment horizontal="center"/>
      <protection hidden="1"/>
    </xf>
    <xf numFmtId="164" fontId="6" fillId="0" borderId="0" xfId="0" applyNumberFormat="1" applyFont="1" applyProtection="1">
      <protection hidden="1"/>
    </xf>
    <xf numFmtId="8" fontId="6" fillId="0" borderId="0" xfId="0" applyNumberFormat="1" applyFont="1" applyProtection="1">
      <protection hidden="1"/>
    </xf>
    <xf numFmtId="0" fontId="10" fillId="0" borderId="1" xfId="0" applyFont="1" applyBorder="1" applyAlignment="1" applyProtection="1">
      <alignment horizontal="right"/>
      <protection hidden="1"/>
    </xf>
    <xf numFmtId="0" fontId="6" fillId="0" borderId="2" xfId="0" applyFont="1" applyBorder="1" applyAlignment="1" applyProtection="1">
      <alignment horizontal="center"/>
      <protection hidden="1"/>
    </xf>
    <xf numFmtId="164" fontId="6" fillId="0" borderId="0" xfId="0" applyNumberFormat="1" applyFont="1" applyAlignment="1" applyProtection="1">
      <alignment horizontal="right"/>
      <protection hidden="1"/>
    </xf>
    <xf numFmtId="0" fontId="16" fillId="0" borderId="3" xfId="0" applyFont="1" applyBorder="1" applyAlignment="1" applyProtection="1">
      <alignment horizontal="center"/>
      <protection hidden="1"/>
    </xf>
    <xf numFmtId="164" fontId="5" fillId="0" borderId="0" xfId="0" applyNumberFormat="1" applyFont="1" applyProtection="1">
      <protection hidden="1"/>
    </xf>
    <xf numFmtId="164" fontId="5" fillId="0" borderId="0" xfId="0" applyNumberFormat="1" applyFont="1" applyAlignment="1" applyProtection="1">
      <alignment horizontal="center"/>
      <protection locked="0"/>
    </xf>
    <xf numFmtId="8" fontId="7" fillId="0" borderId="0" xfId="0" applyNumberFormat="1" applyFont="1" applyAlignment="1" applyProtection="1">
      <alignment horizontal="right"/>
      <protection hidden="1"/>
    </xf>
    <xf numFmtId="164" fontId="25" fillId="0" borderId="0" xfId="0" applyNumberFormat="1" applyFont="1" applyAlignment="1" applyProtection="1">
      <alignment horizontal="right"/>
      <protection hidden="1"/>
    </xf>
    <xf numFmtId="0" fontId="26" fillId="0" borderId="0" xfId="0" applyFont="1" applyAlignment="1" applyProtection="1">
      <alignment horizontal="center"/>
      <protection hidden="1"/>
    </xf>
    <xf numFmtId="0" fontId="17" fillId="0" borderId="0" xfId="0" applyFont="1" applyProtection="1">
      <protection hidden="1"/>
    </xf>
    <xf numFmtId="0" fontId="7" fillId="0" borderId="1" xfId="0" quotePrefix="1" applyFont="1" applyBorder="1" applyAlignment="1" applyProtection="1">
      <alignment horizontal="left"/>
      <protection hidden="1"/>
    </xf>
    <xf numFmtId="0" fontId="5" fillId="0" borderId="0" xfId="0" applyFont="1" applyProtection="1">
      <protection locked="0"/>
    </xf>
    <xf numFmtId="164" fontId="6" fillId="0" borderId="11" xfId="0" applyNumberFormat="1" applyFont="1" applyBorder="1" applyAlignment="1" applyProtection="1">
      <alignment horizontal="center"/>
      <protection locked="0"/>
    </xf>
    <xf numFmtId="164" fontId="6" fillId="0" borderId="7" xfId="0" applyNumberFormat="1" applyFont="1" applyBorder="1" applyProtection="1">
      <protection hidden="1"/>
    </xf>
    <xf numFmtId="8" fontId="6" fillId="0" borderId="4" xfId="0" applyNumberFormat="1" applyFont="1" applyBorder="1" applyProtection="1">
      <protection hidden="1"/>
    </xf>
    <xf numFmtId="0" fontId="28" fillId="0" borderId="0" xfId="0" applyFont="1" applyProtection="1">
      <protection hidden="1"/>
    </xf>
    <xf numFmtId="0" fontId="29" fillId="0" borderId="0" xfId="0" applyFont="1" applyProtection="1">
      <protection hidden="1"/>
    </xf>
    <xf numFmtId="164" fontId="20" fillId="4" borderId="6" xfId="0" applyNumberFormat="1" applyFont="1" applyFill="1" applyBorder="1" applyAlignment="1" applyProtection="1">
      <alignment horizontal="center"/>
      <protection locked="0"/>
    </xf>
    <xf numFmtId="164" fontId="16" fillId="4" borderId="3" xfId="0" applyNumberFormat="1" applyFont="1" applyFill="1" applyBorder="1" applyAlignment="1" applyProtection="1">
      <alignment horizontal="center"/>
      <protection locked="0"/>
    </xf>
    <xf numFmtId="0" fontId="28" fillId="0" borderId="2" xfId="0" applyFont="1" applyBorder="1" applyProtection="1">
      <protection hidden="1"/>
    </xf>
    <xf numFmtId="164" fontId="6" fillId="0" borderId="14" xfId="0" applyNumberFormat="1" applyFont="1" applyBorder="1" applyProtection="1">
      <protection hidden="1"/>
    </xf>
    <xf numFmtId="164" fontId="21" fillId="0" borderId="14" xfId="0" applyNumberFormat="1" applyFont="1" applyBorder="1" applyProtection="1">
      <protection hidden="1"/>
    </xf>
    <xf numFmtId="164" fontId="29" fillId="0" borderId="16" xfId="0" applyNumberFormat="1" applyFont="1" applyBorder="1" applyAlignment="1" applyProtection="1">
      <alignment horizontal="right"/>
      <protection hidden="1"/>
    </xf>
    <xf numFmtId="164" fontId="29" fillId="0" borderId="14" xfId="0" applyNumberFormat="1" applyFont="1" applyBorder="1" applyProtection="1">
      <protection hidden="1"/>
    </xf>
    <xf numFmtId="164" fontId="5" fillId="0" borderId="15" xfId="0" applyNumberFormat="1" applyFont="1" applyBorder="1" applyProtection="1">
      <protection hidden="1"/>
    </xf>
    <xf numFmtId="8" fontId="6" fillId="0" borderId="10" xfId="0" applyNumberFormat="1" applyFont="1" applyBorder="1" applyProtection="1">
      <protection hidden="1"/>
    </xf>
    <xf numFmtId="164" fontId="6" fillId="0" borderId="10" xfId="0" applyNumberFormat="1" applyFont="1" applyBorder="1" applyProtection="1">
      <protection locked="0"/>
    </xf>
    <xf numFmtId="8" fontId="6" fillId="0" borderId="5" xfId="0" applyNumberFormat="1" applyFont="1" applyBorder="1" applyProtection="1">
      <protection hidden="1"/>
    </xf>
    <xf numFmtId="164" fontId="6" fillId="0" borderId="10" xfId="0" applyNumberFormat="1" applyFont="1" applyBorder="1" applyProtection="1">
      <protection hidden="1"/>
    </xf>
    <xf numFmtId="0" fontId="16" fillId="0" borderId="0" xfId="0" applyFont="1" applyAlignment="1" applyProtection="1">
      <alignment horizontal="left"/>
      <protection hidden="1"/>
    </xf>
    <xf numFmtId="8" fontId="6" fillId="0" borderId="14" xfId="0" applyNumberFormat="1" applyFont="1" applyBorder="1" applyAlignment="1" applyProtection="1">
      <alignment horizontal="center"/>
      <protection locked="0"/>
    </xf>
    <xf numFmtId="8" fontId="29" fillId="0" borderId="0" xfId="0" applyNumberFormat="1" applyFont="1" applyProtection="1">
      <protection hidden="1"/>
    </xf>
    <xf numFmtId="0" fontId="3" fillId="0" borderId="5" xfId="0" applyFont="1" applyBorder="1" applyAlignment="1" applyProtection="1">
      <alignment horizontal="center"/>
      <protection locked="0"/>
    </xf>
    <xf numFmtId="0" fontId="20" fillId="0" borderId="0" xfId="0" applyFont="1" applyProtection="1">
      <protection locked="0"/>
    </xf>
    <xf numFmtId="0" fontId="3" fillId="0" borderId="0" xfId="0" applyFont="1"/>
    <xf numFmtId="164" fontId="31" fillId="0" borderId="0" xfId="0" applyNumberFormat="1" applyFont="1" applyAlignment="1" applyProtection="1">
      <alignment horizontal="right"/>
      <protection hidden="1"/>
    </xf>
    <xf numFmtId="0" fontId="40" fillId="0" borderId="0" xfId="0" applyFont="1" applyAlignment="1">
      <alignment vertical="center" wrapText="1"/>
    </xf>
    <xf numFmtId="14" fontId="6" fillId="0" borderId="1" xfId="0" applyNumberFormat="1" applyFont="1" applyBorder="1" applyAlignment="1" applyProtection="1">
      <alignment horizontal="center"/>
      <protection locked="0"/>
    </xf>
    <xf numFmtId="0" fontId="7" fillId="0" borderId="0" xfId="0" applyFont="1" applyAlignment="1" applyProtection="1">
      <alignment horizontal="center"/>
      <protection hidden="1"/>
    </xf>
    <xf numFmtId="20" fontId="6" fillId="0" borderId="5" xfId="0" applyNumberFormat="1" applyFont="1" applyBorder="1" applyAlignment="1" applyProtection="1">
      <alignment horizontal="center"/>
      <protection locked="0"/>
    </xf>
    <xf numFmtId="0" fontId="6" fillId="0" borderId="0" xfId="0" applyFont="1" applyAlignment="1">
      <alignment horizontal="right"/>
    </xf>
    <xf numFmtId="0" fontId="6" fillId="0" borderId="0" xfId="0" quotePrefix="1" applyFont="1" applyAlignment="1">
      <alignment horizontal="right"/>
    </xf>
    <xf numFmtId="14" fontId="16" fillId="0" borderId="1" xfId="0" applyNumberFormat="1" applyFont="1" applyBorder="1" applyAlignment="1" applyProtection="1">
      <alignment horizontal="center"/>
      <protection locked="0"/>
    </xf>
    <xf numFmtId="0" fontId="16" fillId="0" borderId="1" xfId="0" applyFont="1" applyBorder="1" applyAlignment="1" applyProtection="1">
      <alignment horizontal="center"/>
      <protection hidden="1"/>
    </xf>
    <xf numFmtId="0" fontId="16" fillId="0" borderId="1" xfId="0" applyFont="1" applyBorder="1" applyAlignment="1" applyProtection="1">
      <alignment horizontal="left"/>
      <protection hidden="1"/>
    </xf>
    <xf numFmtId="0" fontId="3" fillId="0" borderId="0" xfId="0" applyFont="1" applyAlignment="1" applyProtection="1">
      <alignment horizontal="left"/>
      <protection hidden="1"/>
    </xf>
    <xf numFmtId="0" fontId="6" fillId="0" borderId="0" xfId="0" quotePrefix="1" applyFont="1" applyAlignment="1" applyProtection="1">
      <alignment horizontal="right"/>
      <protection hidden="1"/>
    </xf>
    <xf numFmtId="0" fontId="31" fillId="0" borderId="0" xfId="0" quotePrefix="1" applyFont="1" applyAlignment="1" applyProtection="1">
      <alignment horizontal="right"/>
      <protection hidden="1"/>
    </xf>
    <xf numFmtId="164" fontId="29" fillId="0" borderId="0" xfId="0" quotePrefix="1" applyNumberFormat="1" applyFont="1" applyAlignment="1" applyProtection="1">
      <alignment horizontal="center"/>
      <protection hidden="1"/>
    </xf>
    <xf numFmtId="0" fontId="19" fillId="0" borderId="0" xfId="0" applyFont="1" applyAlignment="1">
      <alignment horizontal="center"/>
    </xf>
    <xf numFmtId="0" fontId="16" fillId="0" borderId="5" xfId="0" applyFont="1" applyBorder="1" applyAlignment="1" applyProtection="1">
      <alignment horizontal="center"/>
      <protection locked="0"/>
    </xf>
    <xf numFmtId="164" fontId="31" fillId="0" borderId="0" xfId="0" quotePrefix="1" applyNumberFormat="1" applyFont="1" applyAlignment="1" applyProtection="1">
      <alignment horizontal="center"/>
      <protection locked="0"/>
    </xf>
    <xf numFmtId="0" fontId="43" fillId="0" borderId="0" xfId="0" applyFont="1" applyProtection="1">
      <protection hidden="1"/>
    </xf>
    <xf numFmtId="164" fontId="43" fillId="0" borderId="0" xfId="0" applyNumberFormat="1" applyFont="1" applyProtection="1">
      <protection hidden="1"/>
    </xf>
    <xf numFmtId="0" fontId="26" fillId="0" borderId="0" xfId="0" applyFont="1" applyAlignment="1" applyProtection="1">
      <alignment horizontal="right"/>
      <protection hidden="1"/>
    </xf>
    <xf numFmtId="164" fontId="26" fillId="0" borderId="11" xfId="0" applyNumberFormat="1" applyFont="1" applyBorder="1" applyAlignment="1" applyProtection="1">
      <alignment horizontal="center"/>
      <protection locked="0"/>
    </xf>
    <xf numFmtId="164" fontId="44" fillId="4" borderId="3" xfId="0" applyNumberFormat="1" applyFont="1" applyFill="1" applyBorder="1" applyAlignment="1" applyProtection="1">
      <alignment horizontal="center"/>
      <protection locked="0"/>
    </xf>
    <xf numFmtId="8" fontId="26" fillId="0" borderId="4" xfId="0" applyNumberFormat="1" applyFont="1" applyBorder="1" applyAlignment="1" applyProtection="1">
      <alignment horizontal="right"/>
      <protection hidden="1"/>
    </xf>
    <xf numFmtId="0" fontId="26" fillId="0" borderId="0" xfId="0" applyFont="1" applyProtection="1">
      <protection hidden="1"/>
    </xf>
    <xf numFmtId="8" fontId="26" fillId="0" borderId="10" xfId="0" applyNumberFormat="1" applyFont="1" applyBorder="1" applyProtection="1">
      <protection locked="0"/>
    </xf>
    <xf numFmtId="0" fontId="44" fillId="0" borderId="0" xfId="0" applyFont="1" applyProtection="1">
      <protection hidden="1"/>
    </xf>
    <xf numFmtId="0" fontId="27" fillId="0" borderId="0" xfId="0" applyFont="1" applyAlignment="1" applyProtection="1">
      <alignment horizontal="center"/>
      <protection hidden="1"/>
    </xf>
    <xf numFmtId="8" fontId="31" fillId="0" borderId="16" xfId="0" applyNumberFormat="1" applyFont="1" applyBorder="1" applyProtection="1">
      <protection hidden="1"/>
    </xf>
    <xf numFmtId="0" fontId="27" fillId="0" borderId="0" xfId="0" applyFont="1" applyProtection="1">
      <protection hidden="1"/>
    </xf>
    <xf numFmtId="164" fontId="23" fillId="0" borderId="5" xfId="0" applyNumberFormat="1" applyFont="1" applyBorder="1" applyAlignment="1" applyProtection="1">
      <alignment horizontal="right"/>
      <protection locked="0"/>
    </xf>
    <xf numFmtId="0" fontId="3" fillId="0" borderId="2" xfId="0" applyFont="1" applyBorder="1" applyProtection="1">
      <protection hidden="1"/>
    </xf>
    <xf numFmtId="0" fontId="20" fillId="0" borderId="2" xfId="0" quotePrefix="1" applyFont="1" applyBorder="1" applyProtection="1">
      <protection hidden="1"/>
    </xf>
    <xf numFmtId="8" fontId="6" fillId="0" borderId="10" xfId="0" applyNumberFormat="1" applyFont="1" applyBorder="1" applyProtection="1">
      <protection locked="0"/>
    </xf>
    <xf numFmtId="0" fontId="0" fillId="2" borderId="8" xfId="0" applyFill="1" applyBorder="1"/>
    <xf numFmtId="2" fontId="0" fillId="2" borderId="8" xfId="0" applyNumberFormat="1" applyFill="1" applyBorder="1"/>
    <xf numFmtId="4" fontId="0" fillId="2" borderId="8" xfId="0" applyNumberFormat="1" applyFill="1" applyBorder="1"/>
    <xf numFmtId="0" fontId="0" fillId="0" borderId="8" xfId="0" applyBorder="1"/>
    <xf numFmtId="0" fontId="0" fillId="5" borderId="8" xfId="0" applyFill="1" applyBorder="1"/>
    <xf numFmtId="0" fontId="3" fillId="5" borderId="8" xfId="0" applyFont="1" applyFill="1" applyBorder="1"/>
    <xf numFmtId="0" fontId="3" fillId="2" borderId="8" xfId="0" applyFont="1" applyFill="1" applyBorder="1"/>
    <xf numFmtId="14" fontId="3" fillId="0" borderId="0" xfId="0" applyNumberFormat="1" applyFont="1" applyAlignment="1" applyProtection="1">
      <alignment horizontal="center"/>
      <protection hidden="1"/>
    </xf>
    <xf numFmtId="165" fontId="0" fillId="0" borderId="5" xfId="0" applyNumberFormat="1" applyBorder="1" applyAlignment="1" applyProtection="1">
      <alignment horizontal="center"/>
      <protection hidden="1"/>
    </xf>
    <xf numFmtId="0" fontId="16" fillId="0" borderId="13" xfId="0" applyFont="1" applyBorder="1" applyProtection="1">
      <protection hidden="1"/>
    </xf>
    <xf numFmtId="0" fontId="6" fillId="0" borderId="2" xfId="0" applyFont="1" applyBorder="1" applyAlignment="1">
      <alignment horizontal="right"/>
    </xf>
    <xf numFmtId="0" fontId="6" fillId="0" borderId="2" xfId="0" applyFont="1" applyBorder="1" applyAlignment="1" applyProtection="1">
      <alignment horizontal="right"/>
      <protection hidden="1"/>
    </xf>
    <xf numFmtId="0" fontId="6" fillId="0" borderId="1" xfId="0" applyFont="1" applyBorder="1" applyAlignment="1" applyProtection="1">
      <alignment horizontal="center"/>
      <protection hidden="1"/>
    </xf>
    <xf numFmtId="0" fontId="49" fillId="0" borderId="0" xfId="0" applyFont="1" applyAlignment="1">
      <alignment horizontal="left" vertical="center" indent="4"/>
    </xf>
    <xf numFmtId="0" fontId="49" fillId="0" borderId="0" xfId="0" applyFont="1" applyAlignment="1">
      <alignment vertical="center"/>
    </xf>
    <xf numFmtId="0" fontId="3" fillId="0" borderId="0" xfId="0" applyFont="1" applyAlignment="1">
      <alignment horizontal="left" vertical="center"/>
    </xf>
    <xf numFmtId="0" fontId="6" fillId="0" borderId="0" xfId="0" applyFont="1" applyAlignment="1" applyProtection="1">
      <alignment horizontal="center" vertical="center"/>
      <protection hidden="1"/>
    </xf>
    <xf numFmtId="0" fontId="6" fillId="3" borderId="0" xfId="0" applyFont="1" applyFill="1" applyAlignment="1" applyProtection="1">
      <alignment horizontal="center"/>
      <protection locked="0"/>
    </xf>
    <xf numFmtId="8" fontId="6" fillId="0" borderId="5" xfId="0" applyNumberFormat="1" applyFont="1" applyBorder="1" applyProtection="1">
      <protection locked="0"/>
    </xf>
    <xf numFmtId="164" fontId="6" fillId="0" borderId="14" xfId="0" applyNumberFormat="1" applyFont="1" applyBorder="1" applyProtection="1">
      <protection locked="0"/>
    </xf>
    <xf numFmtId="8" fontId="6" fillId="0" borderId="17" xfId="0" applyNumberFormat="1" applyFont="1" applyBorder="1" applyProtection="1">
      <protection hidden="1"/>
    </xf>
    <xf numFmtId="0" fontId="47" fillId="2" borderId="8" xfId="0" applyFont="1" applyFill="1" applyBorder="1"/>
    <xf numFmtId="0" fontId="47" fillId="5" borderId="8" xfId="0" applyFont="1" applyFill="1" applyBorder="1"/>
    <xf numFmtId="8" fontId="8" fillId="0" borderId="0" xfId="0" applyNumberFormat="1" applyFont="1" applyProtection="1">
      <protection hidden="1"/>
    </xf>
    <xf numFmtId="0" fontId="20" fillId="0" borderId="0" xfId="0" applyFont="1"/>
    <xf numFmtId="20" fontId="6" fillId="0" borderId="0" xfId="0" applyNumberFormat="1" applyFont="1" applyAlignment="1" applyProtection="1">
      <alignment horizontal="center"/>
      <protection hidden="1"/>
    </xf>
    <xf numFmtId="14" fontId="16" fillId="0" borderId="0" xfId="0" applyNumberFormat="1" applyFont="1" applyAlignment="1" applyProtection="1">
      <alignment horizontal="center"/>
      <protection hidden="1"/>
    </xf>
    <xf numFmtId="0" fontId="23" fillId="0" borderId="0" xfId="0" applyFont="1" applyProtection="1">
      <protection hidden="1"/>
    </xf>
    <xf numFmtId="0" fontId="23" fillId="0" borderId="0" xfId="0" applyFont="1" applyAlignment="1" applyProtection="1">
      <alignment horizontal="left"/>
      <protection hidden="1"/>
    </xf>
    <xf numFmtId="164" fontId="26" fillId="0" borderId="0" xfId="0" applyNumberFormat="1" applyFont="1" applyAlignment="1" applyProtection="1">
      <alignment horizontal="right"/>
      <protection hidden="1"/>
    </xf>
    <xf numFmtId="164" fontId="26" fillId="0" borderId="0" xfId="0" applyNumberFormat="1" applyFont="1" applyProtection="1">
      <protection hidden="1"/>
    </xf>
    <xf numFmtId="164" fontId="6" fillId="0" borderId="0" xfId="1" applyNumberFormat="1" applyFont="1" applyBorder="1" applyAlignment="1" applyProtection="1">
      <protection hidden="1"/>
    </xf>
    <xf numFmtId="0" fontId="20" fillId="0" borderId="0" xfId="0" applyFont="1" applyAlignment="1">
      <alignment horizontal="left"/>
    </xf>
    <xf numFmtId="164" fontId="26" fillId="4" borderId="6" xfId="0" applyNumberFormat="1" applyFont="1" applyFill="1" applyBorder="1" applyAlignment="1" applyProtection="1">
      <alignment horizontal="center"/>
      <protection locked="0"/>
    </xf>
    <xf numFmtId="20" fontId="6" fillId="0" borderId="0" xfId="0" applyNumberFormat="1" applyFont="1" applyProtection="1">
      <protection hidden="1"/>
    </xf>
    <xf numFmtId="14" fontId="6" fillId="0" borderId="0" xfId="0" applyNumberFormat="1" applyFont="1" applyAlignment="1" applyProtection="1">
      <alignment horizontal="center"/>
      <protection hidden="1"/>
    </xf>
    <xf numFmtId="0" fontId="51" fillId="0" borderId="0" xfId="0" applyFont="1" applyProtection="1">
      <protection hidden="1"/>
    </xf>
    <xf numFmtId="0" fontId="3" fillId="0" borderId="0" xfId="0" applyFont="1" applyAlignment="1">
      <alignment horizontal="right"/>
    </xf>
    <xf numFmtId="14" fontId="16" fillId="0" borderId="0" xfId="0" applyNumberFormat="1" applyFont="1" applyAlignment="1" applyProtection="1">
      <alignment horizontal="right"/>
      <protection hidden="1"/>
    </xf>
    <xf numFmtId="0" fontId="0" fillId="0" borderId="0" xfId="0" applyAlignment="1" applyProtection="1">
      <alignment horizontal="left"/>
      <protection locked="0"/>
    </xf>
    <xf numFmtId="0" fontId="0" fillId="0" borderId="10" xfId="0" applyBorder="1" applyAlignment="1" applyProtection="1">
      <alignment horizontal="left"/>
      <protection locked="0"/>
    </xf>
    <xf numFmtId="0" fontId="54" fillId="0" borderId="0" xfId="0" applyFont="1"/>
    <xf numFmtId="0" fontId="51" fillId="0" borderId="0" xfId="0" applyFont="1"/>
    <xf numFmtId="0" fontId="59" fillId="0" borderId="0" xfId="0" applyFont="1"/>
    <xf numFmtId="0" fontId="57" fillId="0" borderId="0" xfId="0" applyFont="1" applyAlignment="1" applyProtection="1">
      <alignment horizontal="left"/>
      <protection hidden="1"/>
    </xf>
    <xf numFmtId="0" fontId="57" fillId="0" borderId="0" xfId="0" applyFont="1" applyProtection="1">
      <protection hidden="1"/>
    </xf>
    <xf numFmtId="8" fontId="29" fillId="0" borderId="0" xfId="0" applyNumberFormat="1" applyFont="1" applyProtection="1">
      <protection locked="0"/>
    </xf>
    <xf numFmtId="0" fontId="31" fillId="0" borderId="0" xfId="0" applyFont="1" applyAlignment="1" applyProtection="1">
      <alignment horizontal="center"/>
      <protection locked="0"/>
    </xf>
    <xf numFmtId="0" fontId="62" fillId="0" borderId="0" xfId="0" applyFont="1" applyAlignment="1" applyProtection="1">
      <alignment horizontal="right"/>
      <protection hidden="1"/>
    </xf>
    <xf numFmtId="0" fontId="16" fillId="0" borderId="0" xfId="0" quotePrefix="1" applyFont="1" applyProtection="1">
      <protection hidden="1"/>
    </xf>
    <xf numFmtId="0" fontId="16" fillId="0" borderId="0" xfId="1" applyFont="1" applyAlignment="1" applyProtection="1">
      <alignment horizontal="right"/>
      <protection hidden="1"/>
    </xf>
    <xf numFmtId="0" fontId="3" fillId="0" borderId="0" xfId="0" applyFont="1" applyAlignment="1">
      <alignment horizontal="center"/>
    </xf>
    <xf numFmtId="164" fontId="3" fillId="0" borderId="0" xfId="0" applyNumberFormat="1" applyFont="1"/>
    <xf numFmtId="14" fontId="3" fillId="0" borderId="0" xfId="0" applyNumberFormat="1" applyFont="1" applyAlignment="1">
      <alignment horizontal="center"/>
    </xf>
    <xf numFmtId="168" fontId="3" fillId="0" borderId="0" xfId="0" applyNumberFormat="1" applyFont="1" applyProtection="1">
      <protection hidden="1"/>
    </xf>
    <xf numFmtId="20" fontId="3" fillId="0" borderId="0" xfId="0" applyNumberFormat="1" applyFont="1" applyAlignment="1">
      <alignment horizontal="center"/>
    </xf>
    <xf numFmtId="8" fontId="3" fillId="0" borderId="0" xfId="0" applyNumberFormat="1" applyFont="1" applyAlignment="1">
      <alignment horizontal="left"/>
    </xf>
    <xf numFmtId="8" fontId="3" fillId="0" borderId="0" xfId="0" applyNumberFormat="1" applyFont="1"/>
    <xf numFmtId="20" fontId="3" fillId="0" borderId="0" xfId="0" applyNumberFormat="1" applyFont="1"/>
    <xf numFmtId="0" fontId="16" fillId="0" borderId="0" xfId="1" applyFont="1" applyAlignment="1" applyProtection="1">
      <protection hidden="1"/>
    </xf>
    <xf numFmtId="0" fontId="5" fillId="0" borderId="0" xfId="0" applyFont="1"/>
    <xf numFmtId="0" fontId="3" fillId="0" borderId="0" xfId="0" applyFont="1" applyAlignment="1">
      <alignment horizontal="left"/>
    </xf>
    <xf numFmtId="169" fontId="3" fillId="0" borderId="0" xfId="0" applyNumberFormat="1" applyFont="1"/>
    <xf numFmtId="164" fontId="3" fillId="0" borderId="8" xfId="0" applyNumberFormat="1" applyFont="1" applyBorder="1"/>
    <xf numFmtId="0" fontId="3" fillId="0" borderId="8" xfId="0" applyFont="1" applyBorder="1"/>
    <xf numFmtId="164" fontId="3" fillId="0" borderId="8" xfId="0" applyNumberFormat="1" applyFont="1" applyBorder="1" applyProtection="1">
      <protection hidden="1"/>
    </xf>
    <xf numFmtId="0" fontId="3" fillId="0" borderId="8" xfId="0" applyFont="1" applyBorder="1" applyProtection="1">
      <protection hidden="1"/>
    </xf>
    <xf numFmtId="0" fontId="59" fillId="0" borderId="0" xfId="0" applyFont="1" applyProtection="1">
      <protection hidden="1"/>
    </xf>
    <xf numFmtId="8" fontId="3" fillId="0" borderId="0" xfId="0" applyNumberFormat="1" applyFont="1" applyProtection="1">
      <protection hidden="1"/>
    </xf>
    <xf numFmtId="0" fontId="69" fillId="0" borderId="0" xfId="0" applyFont="1" applyProtection="1">
      <protection hidden="1"/>
    </xf>
    <xf numFmtId="0" fontId="69" fillId="0" borderId="8" xfId="0" applyFont="1" applyBorder="1" applyProtection="1">
      <protection hidden="1"/>
    </xf>
    <xf numFmtId="0" fontId="3" fillId="0" borderId="23" xfId="0" applyFont="1" applyBorder="1" applyProtection="1">
      <protection hidden="1"/>
    </xf>
    <xf numFmtId="0" fontId="69" fillId="0" borderId="8" xfId="0" applyFont="1" applyBorder="1"/>
    <xf numFmtId="0" fontId="3" fillId="0" borderId="6" xfId="0" applyFont="1" applyBorder="1" applyProtection="1">
      <protection hidden="1"/>
    </xf>
    <xf numFmtId="0" fontId="69" fillId="0" borderId="0" xfId="0" applyFont="1" applyAlignment="1">
      <alignment horizontal="left"/>
    </xf>
    <xf numFmtId="169" fontId="3" fillId="0" borderId="0" xfId="0" applyNumberFormat="1" applyFont="1" applyAlignment="1">
      <alignment horizontal="center"/>
    </xf>
    <xf numFmtId="1" fontId="3" fillId="0" borderId="0" xfId="0" applyNumberFormat="1" applyFont="1"/>
    <xf numFmtId="164" fontId="3" fillId="0" borderId="0" xfId="0" applyNumberFormat="1" applyFont="1" applyAlignment="1">
      <alignment horizontal="right"/>
    </xf>
    <xf numFmtId="8" fontId="3" fillId="0" borderId="0" xfId="0" applyNumberFormat="1" applyFont="1" applyAlignment="1">
      <alignment horizontal="center"/>
    </xf>
    <xf numFmtId="0" fontId="3" fillId="0" borderId="0" xfId="0" applyFont="1" applyProtection="1">
      <protection locked="0"/>
    </xf>
    <xf numFmtId="166" fontId="3" fillId="0" borderId="0" xfId="0" applyNumberFormat="1" applyFont="1" applyProtection="1">
      <protection hidden="1"/>
    </xf>
    <xf numFmtId="164" fontId="3" fillId="0" borderId="0" xfId="0" applyNumberFormat="1" applyFont="1" applyProtection="1">
      <protection hidden="1"/>
    </xf>
    <xf numFmtId="1" fontId="3" fillId="0" borderId="8" xfId="0" applyNumberFormat="1" applyFont="1" applyBorder="1"/>
    <xf numFmtId="8" fontId="3" fillId="0" borderId="8" xfId="0" applyNumberFormat="1" applyFont="1" applyBorder="1"/>
    <xf numFmtId="0" fontId="69" fillId="0" borderId="0" xfId="0" applyFont="1"/>
    <xf numFmtId="0" fontId="69" fillId="0" borderId="18" xfId="0" applyFont="1" applyBorder="1"/>
    <xf numFmtId="8" fontId="47" fillId="0" borderId="0" xfId="0" applyNumberFormat="1" applyFont="1"/>
    <xf numFmtId="8" fontId="47" fillId="0" borderId="8" xfId="0" applyNumberFormat="1" applyFont="1" applyBorder="1"/>
    <xf numFmtId="0" fontId="59" fillId="0" borderId="8" xfId="0" applyFont="1" applyBorder="1"/>
    <xf numFmtId="0" fontId="47" fillId="0" borderId="0" xfId="0" applyFont="1"/>
    <xf numFmtId="8" fontId="22" fillId="0" borderId="0" xfId="0" applyNumberFormat="1" applyFont="1"/>
    <xf numFmtId="0" fontId="22" fillId="0" borderId="0" xfId="0" applyFont="1"/>
    <xf numFmtId="164" fontId="70" fillId="0" borderId="8" xfId="0" applyNumberFormat="1" applyFont="1" applyBorder="1"/>
    <xf numFmtId="164" fontId="70" fillId="0" borderId="8" xfId="0" applyNumberFormat="1" applyFont="1" applyBorder="1" applyProtection="1">
      <protection hidden="1"/>
    </xf>
    <xf numFmtId="164" fontId="43" fillId="0" borderId="8" xfId="0" applyNumberFormat="1" applyFont="1" applyBorder="1" applyProtection="1">
      <protection hidden="1"/>
    </xf>
    <xf numFmtId="0" fontId="24" fillId="0" borderId="8" xfId="0" applyFont="1" applyBorder="1" applyProtection="1">
      <protection hidden="1"/>
    </xf>
    <xf numFmtId="0" fontId="24" fillId="0" borderId="8" xfId="0" applyFont="1" applyBorder="1" applyAlignment="1" applyProtection="1">
      <alignment horizontal="center"/>
      <protection hidden="1"/>
    </xf>
    <xf numFmtId="0" fontId="20" fillId="0" borderId="0" xfId="0" applyFont="1" applyAlignment="1" applyProtection="1">
      <alignment horizontal="left"/>
      <protection hidden="1"/>
    </xf>
    <xf numFmtId="0" fontId="16" fillId="0" borderId="5" xfId="0" applyFont="1" applyBorder="1" applyAlignment="1" applyProtection="1">
      <alignment horizontal="center"/>
      <protection hidden="1"/>
    </xf>
    <xf numFmtId="0" fontId="20" fillId="0" borderId="9" xfId="0" applyFont="1" applyBorder="1" applyProtection="1">
      <protection hidden="1"/>
    </xf>
    <xf numFmtId="164" fontId="6" fillId="0" borderId="11" xfId="0" applyNumberFormat="1" applyFont="1" applyBorder="1" applyAlignment="1" applyProtection="1">
      <alignment horizontal="center"/>
      <protection hidden="1"/>
    </xf>
    <xf numFmtId="8" fontId="6" fillId="0" borderId="14" xfId="0" applyNumberFormat="1" applyFont="1" applyBorder="1" applyAlignment="1" applyProtection="1">
      <alignment horizontal="center"/>
      <protection hidden="1"/>
    </xf>
    <xf numFmtId="0" fontId="5" fillId="6" borderId="0" xfId="0" applyFont="1" applyFill="1" applyProtection="1">
      <protection hidden="1"/>
    </xf>
    <xf numFmtId="0" fontId="0" fillId="6" borderId="0" xfId="0" applyFill="1" applyProtection="1">
      <protection hidden="1"/>
    </xf>
    <xf numFmtId="0" fontId="3" fillId="0" borderId="5" xfId="0" applyFont="1" applyBorder="1" applyAlignment="1" applyProtection="1">
      <alignment horizontal="center"/>
      <protection hidden="1"/>
    </xf>
    <xf numFmtId="0" fontId="20" fillId="0" borderId="10" xfId="0" applyFont="1" applyBorder="1" applyAlignment="1" applyProtection="1">
      <alignment horizontal="center"/>
      <protection hidden="1"/>
    </xf>
    <xf numFmtId="14" fontId="6" fillId="0" borderId="1" xfId="0" applyNumberFormat="1" applyFont="1" applyBorder="1" applyAlignment="1" applyProtection="1">
      <alignment horizontal="center"/>
      <protection hidden="1"/>
    </xf>
    <xf numFmtId="20" fontId="6" fillId="0" borderId="5" xfId="0" applyNumberFormat="1" applyFont="1" applyBorder="1" applyAlignment="1" applyProtection="1">
      <alignment horizontal="center"/>
      <protection hidden="1"/>
    </xf>
    <xf numFmtId="1" fontId="16" fillId="0" borderId="1" xfId="0" applyNumberFormat="1" applyFont="1" applyBorder="1" applyAlignment="1" applyProtection="1">
      <alignment horizontal="right"/>
      <protection hidden="1"/>
    </xf>
    <xf numFmtId="1" fontId="16" fillId="0" borderId="3" xfId="0" applyNumberFormat="1" applyFont="1" applyBorder="1" applyAlignment="1" applyProtection="1">
      <alignment horizontal="right"/>
      <protection hidden="1"/>
    </xf>
    <xf numFmtId="14" fontId="16" fillId="0" borderId="1" xfId="0" applyNumberFormat="1" applyFont="1" applyBorder="1" applyAlignment="1" applyProtection="1">
      <alignment horizontal="center"/>
      <protection hidden="1"/>
    </xf>
    <xf numFmtId="164" fontId="5" fillId="0" borderId="1" xfId="0" applyNumberFormat="1" applyFont="1" applyBorder="1" applyAlignment="1" applyProtection="1">
      <alignment horizontal="center"/>
      <protection hidden="1"/>
    </xf>
    <xf numFmtId="164" fontId="5" fillId="0" borderId="0" xfId="0" applyNumberFormat="1" applyFont="1" applyAlignment="1" applyProtection="1">
      <alignment horizontal="center"/>
      <protection hidden="1"/>
    </xf>
    <xf numFmtId="0" fontId="65" fillId="0" borderId="0" xfId="1" applyFont="1" applyFill="1" applyAlignment="1" applyProtection="1">
      <alignment horizontal="center"/>
      <protection hidden="1"/>
    </xf>
    <xf numFmtId="0" fontId="16" fillId="0" borderId="8" xfId="0" applyFont="1" applyBorder="1" applyAlignment="1" applyProtection="1">
      <alignment horizontal="center"/>
      <protection hidden="1"/>
    </xf>
    <xf numFmtId="164" fontId="16" fillId="0" borderId="6" xfId="0" applyNumberFormat="1" applyFont="1" applyBorder="1" applyAlignment="1" applyProtection="1">
      <alignment horizontal="left"/>
      <protection hidden="1"/>
    </xf>
    <xf numFmtId="0" fontId="68" fillId="0" borderId="0" xfId="1" applyFont="1" applyAlignment="1" applyProtection="1">
      <protection hidden="1"/>
    </xf>
    <xf numFmtId="0" fontId="3" fillId="0" borderId="1" xfId="0" applyFont="1" applyBorder="1" applyProtection="1">
      <protection hidden="1"/>
    </xf>
    <xf numFmtId="0" fontId="3" fillId="0" borderId="0" xfId="0" applyFont="1" applyAlignment="1" applyProtection="1">
      <alignment horizontal="right"/>
      <protection hidden="1"/>
    </xf>
    <xf numFmtId="164" fontId="20" fillId="0" borderId="6" xfId="0" applyNumberFormat="1" applyFont="1" applyBorder="1" applyAlignment="1" applyProtection="1">
      <alignment horizontal="center"/>
      <protection hidden="1"/>
    </xf>
    <xf numFmtId="0" fontId="3" fillId="0" borderId="0" xfId="0" applyFont="1" applyAlignment="1" applyProtection="1">
      <alignment horizontal="center"/>
      <protection hidden="1"/>
    </xf>
    <xf numFmtId="0" fontId="27" fillId="0" borderId="0" xfId="0" applyFont="1" applyAlignment="1" applyProtection="1">
      <alignment horizontal="right"/>
      <protection hidden="1"/>
    </xf>
    <xf numFmtId="14" fontId="3" fillId="0" borderId="0" xfId="0" applyNumberFormat="1" applyFont="1" applyProtection="1">
      <protection hidden="1"/>
    </xf>
    <xf numFmtId="0" fontId="27" fillId="0" borderId="0" xfId="1" applyFont="1" applyFill="1" applyAlignment="1" applyProtection="1">
      <alignment horizontal="center"/>
      <protection hidden="1"/>
    </xf>
    <xf numFmtId="0" fontId="37" fillId="0" borderId="0" xfId="0" applyFont="1" applyProtection="1">
      <protection hidden="1"/>
    </xf>
    <xf numFmtId="165" fontId="3" fillId="0" borderId="10" xfId="0" applyNumberFormat="1" applyFont="1" applyBorder="1" applyAlignment="1" applyProtection="1">
      <alignment horizontal="center"/>
      <protection hidden="1"/>
    </xf>
    <xf numFmtId="8" fontId="68" fillId="0" borderId="0" xfId="1" applyNumberFormat="1" applyFont="1" applyFill="1" applyAlignment="1" applyProtection="1">
      <alignment horizontal="center"/>
      <protection hidden="1"/>
    </xf>
    <xf numFmtId="0" fontId="7" fillId="0" borderId="1" xfId="0" applyFont="1" applyBorder="1" applyAlignment="1" applyProtection="1">
      <alignment horizontal="right"/>
      <protection hidden="1"/>
    </xf>
    <xf numFmtId="8" fontId="5" fillId="0" borderId="0" xfId="0" applyNumberFormat="1" applyFont="1" applyProtection="1">
      <protection hidden="1"/>
    </xf>
    <xf numFmtId="0" fontId="27" fillId="0" borderId="2" xfId="0" applyFont="1" applyBorder="1" applyProtection="1">
      <protection hidden="1"/>
    </xf>
    <xf numFmtId="164" fontId="16" fillId="0" borderId="0" xfId="0" applyNumberFormat="1" applyFont="1" applyProtection="1">
      <protection hidden="1"/>
    </xf>
    <xf numFmtId="165" fontId="3" fillId="0" borderId="5" xfId="0" applyNumberFormat="1" applyFont="1" applyBorder="1" applyAlignment="1" applyProtection="1">
      <alignment horizontal="center"/>
      <protection hidden="1"/>
    </xf>
    <xf numFmtId="164" fontId="6" fillId="0" borderId="0" xfId="0" quotePrefix="1" applyNumberFormat="1" applyFont="1" applyAlignment="1" applyProtection="1">
      <alignment horizontal="center"/>
      <protection hidden="1"/>
    </xf>
    <xf numFmtId="164" fontId="72" fillId="0" borderId="0" xfId="0" applyNumberFormat="1" applyFont="1" applyAlignment="1" applyProtection="1">
      <alignment horizontal="right"/>
      <protection hidden="1"/>
    </xf>
    <xf numFmtId="164" fontId="6" fillId="0" borderId="5" xfId="0" applyNumberFormat="1" applyFont="1" applyBorder="1" applyAlignment="1" applyProtection="1">
      <alignment horizontal="right"/>
      <protection hidden="1"/>
    </xf>
    <xf numFmtId="8" fontId="3" fillId="0" borderId="23" xfId="0" applyNumberFormat="1" applyFont="1" applyBorder="1" applyProtection="1">
      <protection hidden="1"/>
    </xf>
    <xf numFmtId="164" fontId="3" fillId="0" borderId="0" xfId="0" applyNumberFormat="1" applyFont="1" applyAlignment="1" applyProtection="1">
      <alignment horizontal="left"/>
      <protection hidden="1"/>
    </xf>
    <xf numFmtId="0" fontId="3" fillId="0" borderId="7" xfId="0" applyFont="1" applyBorder="1" applyProtection="1">
      <protection hidden="1"/>
    </xf>
    <xf numFmtId="0" fontId="24" fillId="0" borderId="0" xfId="0" applyFont="1" applyProtection="1">
      <protection hidden="1"/>
    </xf>
    <xf numFmtId="164" fontId="24" fillId="7" borderId="8" xfId="0" applyNumberFormat="1" applyFont="1" applyFill="1" applyBorder="1" applyProtection="1">
      <protection hidden="1"/>
    </xf>
    <xf numFmtId="0" fontId="71" fillId="0" borderId="0" xfId="0" applyFont="1" applyProtection="1">
      <protection hidden="1"/>
    </xf>
    <xf numFmtId="0" fontId="24" fillId="7" borderId="6" xfId="0" applyFont="1" applyFill="1" applyBorder="1" applyProtection="1">
      <protection hidden="1"/>
    </xf>
    <xf numFmtId="9" fontId="24" fillId="0" borderId="8" xfId="0" applyNumberFormat="1" applyFont="1" applyBorder="1" applyAlignment="1" applyProtection="1">
      <alignment horizontal="center"/>
      <protection hidden="1"/>
    </xf>
    <xf numFmtId="10" fontId="24" fillId="0" borderId="8" xfId="0" applyNumberFormat="1" applyFont="1" applyBorder="1" applyProtection="1">
      <protection hidden="1"/>
    </xf>
    <xf numFmtId="164" fontId="3" fillId="4" borderId="8" xfId="0" applyNumberFormat="1" applyFont="1" applyFill="1" applyBorder="1" applyProtection="1">
      <protection hidden="1"/>
    </xf>
    <xf numFmtId="164" fontId="24" fillId="8" borderId="8" xfId="0" applyNumberFormat="1" applyFont="1" applyFill="1" applyBorder="1" applyProtection="1">
      <protection hidden="1"/>
    </xf>
    <xf numFmtId="0" fontId="24" fillId="8" borderId="8" xfId="0" applyFont="1" applyFill="1" applyBorder="1" applyProtection="1">
      <protection hidden="1"/>
    </xf>
    <xf numFmtId="164" fontId="24" fillId="7" borderId="6" xfId="0" applyNumberFormat="1" applyFont="1" applyFill="1" applyBorder="1" applyProtection="1">
      <protection hidden="1"/>
    </xf>
    <xf numFmtId="0" fontId="24" fillId="0" borderId="0" xfId="0" applyFont="1"/>
    <xf numFmtId="0" fontId="24" fillId="8" borderId="0" xfId="0" applyFont="1" applyFill="1"/>
    <xf numFmtId="0" fontId="24" fillId="8" borderId="0" xfId="0" applyFont="1" applyFill="1" applyProtection="1">
      <protection hidden="1"/>
    </xf>
    <xf numFmtId="0" fontId="75" fillId="0" borderId="0" xfId="0" applyFont="1" applyProtection="1">
      <protection hidden="1"/>
    </xf>
    <xf numFmtId="0" fontId="70" fillId="0" borderId="0" xfId="0" applyFont="1" applyProtection="1">
      <protection hidden="1"/>
    </xf>
    <xf numFmtId="0" fontId="75" fillId="0" borderId="22" xfId="0" applyFont="1" applyBorder="1" applyProtection="1">
      <protection hidden="1"/>
    </xf>
    <xf numFmtId="0" fontId="75" fillId="0" borderId="18" xfId="0" applyFont="1" applyBorder="1" applyProtection="1">
      <protection hidden="1"/>
    </xf>
    <xf numFmtId="0" fontId="75" fillId="0" borderId="12" xfId="0" applyFont="1" applyBorder="1" applyProtection="1">
      <protection hidden="1"/>
    </xf>
    <xf numFmtId="0" fontId="70" fillId="0" borderId="18" xfId="0" applyFont="1" applyBorder="1" applyProtection="1">
      <protection hidden="1"/>
    </xf>
    <xf numFmtId="0" fontId="70" fillId="0" borderId="19" xfId="0" applyFont="1" applyBorder="1" applyProtection="1">
      <protection hidden="1"/>
    </xf>
    <xf numFmtId="0" fontId="70" fillId="0" borderId="1" xfId="0" applyFont="1" applyBorder="1" applyProtection="1">
      <protection hidden="1"/>
    </xf>
    <xf numFmtId="0" fontId="75" fillId="0" borderId="1" xfId="0" applyFont="1" applyBorder="1" applyProtection="1">
      <protection hidden="1"/>
    </xf>
    <xf numFmtId="0" fontId="75" fillId="0" borderId="4" xfId="0" applyFont="1" applyBorder="1" applyProtection="1">
      <protection hidden="1"/>
    </xf>
    <xf numFmtId="0" fontId="70" fillId="0" borderId="21" xfId="0" applyFont="1" applyBorder="1" applyProtection="1">
      <protection hidden="1"/>
    </xf>
    <xf numFmtId="0" fontId="75" fillId="0" borderId="2" xfId="0" applyFont="1" applyBorder="1" applyProtection="1">
      <protection hidden="1"/>
    </xf>
    <xf numFmtId="0" fontId="3" fillId="0" borderId="22" xfId="0" applyFont="1" applyBorder="1" applyProtection="1">
      <protection hidden="1"/>
    </xf>
    <xf numFmtId="0" fontId="3" fillId="0" borderId="12" xfId="0" applyFont="1" applyBorder="1" applyProtection="1">
      <protection hidden="1"/>
    </xf>
    <xf numFmtId="0" fontId="3" fillId="0" borderId="4" xfId="0" applyFont="1" applyBorder="1" applyProtection="1">
      <protection hidden="1"/>
    </xf>
    <xf numFmtId="0" fontId="70" fillId="0" borderId="2" xfId="0" applyFont="1" applyBorder="1" applyProtection="1">
      <protection hidden="1"/>
    </xf>
    <xf numFmtId="0" fontId="3" fillId="0" borderId="18" xfId="0" applyFont="1" applyBorder="1" applyAlignment="1" applyProtection="1">
      <alignment horizontal="center"/>
      <protection hidden="1"/>
    </xf>
    <xf numFmtId="0" fontId="16" fillId="0" borderId="19" xfId="0" applyFont="1" applyBorder="1" applyAlignment="1" applyProtection="1">
      <alignment vertical="center"/>
      <protection hidden="1"/>
    </xf>
    <xf numFmtId="0" fontId="3" fillId="0" borderId="32" xfId="0" applyFont="1" applyBorder="1" applyAlignment="1" applyProtection="1">
      <alignment horizontal="center"/>
      <protection hidden="1"/>
    </xf>
    <xf numFmtId="0" fontId="3" fillId="0" borderId="33" xfId="0" applyFont="1" applyBorder="1" applyProtection="1">
      <protection hidden="1"/>
    </xf>
    <xf numFmtId="0" fontId="3" fillId="0" borderId="37" xfId="0" applyFont="1" applyBorder="1" applyProtection="1">
      <protection hidden="1"/>
    </xf>
    <xf numFmtId="0" fontId="16" fillId="0" borderId="21" xfId="0" applyFont="1" applyBorder="1" applyAlignment="1" applyProtection="1">
      <alignment horizontal="center"/>
      <protection hidden="1"/>
    </xf>
    <xf numFmtId="0" fontId="16" fillId="0" borderId="41" xfId="0" applyFont="1" applyBorder="1" applyProtection="1">
      <protection hidden="1"/>
    </xf>
    <xf numFmtId="0" fontId="16" fillId="0" borderId="42" xfId="0" applyFont="1" applyBorder="1" applyProtection="1">
      <protection hidden="1"/>
    </xf>
    <xf numFmtId="0" fontId="16" fillId="0" borderId="43" xfId="0" applyFont="1" applyBorder="1" applyProtection="1">
      <protection hidden="1"/>
    </xf>
    <xf numFmtId="0" fontId="0" fillId="0" borderId="12" xfId="0" applyBorder="1"/>
    <xf numFmtId="0" fontId="0" fillId="0" borderId="4" xfId="0" applyBorder="1"/>
    <xf numFmtId="0" fontId="70" fillId="0" borderId="0" xfId="0" applyFont="1"/>
    <xf numFmtId="8" fontId="70" fillId="0" borderId="0" xfId="0" applyNumberFormat="1" applyFont="1"/>
    <xf numFmtId="8" fontId="70" fillId="0" borderId="8" xfId="0" applyNumberFormat="1" applyFont="1" applyBorder="1"/>
    <xf numFmtId="0" fontId="20" fillId="0" borderId="2" xfId="0" applyFont="1" applyBorder="1"/>
    <xf numFmtId="0" fontId="20" fillId="0" borderId="22" xfId="0" applyFont="1" applyBorder="1"/>
    <xf numFmtId="0" fontId="20" fillId="0" borderId="12" xfId="0" applyFont="1" applyBorder="1"/>
    <xf numFmtId="0" fontId="20" fillId="0" borderId="1" xfId="0" applyFont="1" applyBorder="1"/>
    <xf numFmtId="0" fontId="20" fillId="0" borderId="4" xfId="0" applyFont="1" applyBorder="1"/>
    <xf numFmtId="0" fontId="37" fillId="0" borderId="18" xfId="0" applyFont="1" applyBorder="1"/>
    <xf numFmtId="0" fontId="37" fillId="0" borderId="52" xfId="0" applyFont="1" applyBorder="1"/>
    <xf numFmtId="0" fontId="0" fillId="0" borderId="30" xfId="0" applyBorder="1"/>
    <xf numFmtId="0" fontId="0" fillId="0" borderId="44" xfId="0" applyBorder="1"/>
    <xf numFmtId="0" fontId="37" fillId="0" borderId="53" xfId="0" applyFont="1" applyBorder="1"/>
    <xf numFmtId="0" fontId="0" fillId="0" borderId="54" xfId="0" applyBorder="1"/>
    <xf numFmtId="0" fontId="37" fillId="0" borderId="46" xfId="0" applyFont="1" applyBorder="1"/>
    <xf numFmtId="0" fontId="0" fillId="0" borderId="40" xfId="0" applyBorder="1"/>
    <xf numFmtId="0" fontId="0" fillId="0" borderId="45" xfId="0" applyBorder="1"/>
    <xf numFmtId="0" fontId="37" fillId="0" borderId="19" xfId="0" applyFont="1" applyBorder="1"/>
    <xf numFmtId="0" fontId="37" fillId="0" borderId="1" xfId="0" applyFont="1" applyBorder="1"/>
    <xf numFmtId="0" fontId="37" fillId="0" borderId="49" xfId="0" applyFont="1" applyBorder="1"/>
    <xf numFmtId="0" fontId="20" fillId="0" borderId="50" xfId="0" applyFont="1" applyBorder="1"/>
    <xf numFmtId="0" fontId="20" fillId="0" borderId="51" xfId="0" applyFont="1" applyBorder="1"/>
    <xf numFmtId="164" fontId="16" fillId="0" borderId="3" xfId="0" applyNumberFormat="1" applyFont="1" applyBorder="1" applyAlignment="1" applyProtection="1">
      <alignment horizontal="center"/>
      <protection hidden="1"/>
    </xf>
    <xf numFmtId="0" fontId="37" fillId="0" borderId="29" xfId="0" applyFont="1" applyBorder="1"/>
    <xf numFmtId="0" fontId="76" fillId="0" borderId="0" xfId="0" applyFont="1" applyProtection="1">
      <protection hidden="1"/>
    </xf>
    <xf numFmtId="0" fontId="76" fillId="0" borderId="8" xfId="0" applyFont="1" applyBorder="1" applyAlignment="1">
      <alignment horizontal="center"/>
    </xf>
    <xf numFmtId="0" fontId="76" fillId="0" borderId="0" xfId="0" applyFont="1" applyAlignment="1">
      <alignment horizontal="center"/>
    </xf>
    <xf numFmtId="0" fontId="51" fillId="0" borderId="0" xfId="0" applyFont="1" applyAlignment="1">
      <alignment horizontal="left"/>
    </xf>
    <xf numFmtId="0" fontId="76" fillId="0" borderId="24" xfId="0" applyFont="1" applyBorder="1" applyAlignment="1">
      <alignment vertical="center"/>
    </xf>
    <xf numFmtId="0" fontId="51" fillId="0" borderId="19" xfId="0" applyFont="1" applyBorder="1"/>
    <xf numFmtId="0" fontId="51" fillId="0" borderId="1" xfId="0" applyFont="1" applyBorder="1"/>
    <xf numFmtId="0" fontId="51" fillId="0" borderId="4" xfId="0" applyFont="1" applyBorder="1"/>
    <xf numFmtId="0" fontId="76" fillId="0" borderId="23" xfId="0" applyFont="1" applyBorder="1" applyAlignment="1">
      <alignment horizontal="center"/>
    </xf>
    <xf numFmtId="0" fontId="51" fillId="0" borderId="25" xfId="0" applyFont="1" applyBorder="1" applyAlignment="1">
      <alignment horizontal="center"/>
    </xf>
    <xf numFmtId="8" fontId="51" fillId="0" borderId="23" xfId="0" applyNumberFormat="1" applyFont="1" applyBorder="1"/>
    <xf numFmtId="164" fontId="51" fillId="0" borderId="0" xfId="0" applyNumberFormat="1" applyFont="1" applyAlignment="1">
      <alignment horizontal="left"/>
    </xf>
    <xf numFmtId="164" fontId="51" fillId="0" borderId="8" xfId="0" applyNumberFormat="1" applyFont="1" applyBorder="1"/>
    <xf numFmtId="164" fontId="76" fillId="0" borderId="6" xfId="0" applyNumberFormat="1" applyFont="1" applyBorder="1" applyAlignment="1">
      <alignment horizontal="left"/>
    </xf>
    <xf numFmtId="0" fontId="51" fillId="0" borderId="7" xfId="0" applyFont="1" applyBorder="1"/>
    <xf numFmtId="0" fontId="54" fillId="0" borderId="0" xfId="0" applyFont="1" applyAlignment="1">
      <alignment horizontal="left" vertical="top"/>
    </xf>
    <xf numFmtId="0" fontId="37" fillId="0" borderId="8" xfId="0" applyFont="1" applyBorder="1"/>
    <xf numFmtId="0" fontId="78" fillId="0" borderId="0" xfId="0" applyFont="1" applyProtection="1">
      <protection hidden="1"/>
    </xf>
    <xf numFmtId="0" fontId="78" fillId="0" borderId="18" xfId="0" applyFont="1" applyBorder="1" applyProtection="1">
      <protection hidden="1"/>
    </xf>
    <xf numFmtId="0" fontId="66" fillId="0" borderId="0" xfId="0" applyFont="1" applyProtection="1">
      <protection hidden="1"/>
    </xf>
    <xf numFmtId="0" fontId="20" fillId="4" borderId="0" xfId="0" applyFont="1" applyFill="1" applyAlignment="1" applyProtection="1">
      <alignment horizontal="left"/>
      <protection hidden="1"/>
    </xf>
    <xf numFmtId="0" fontId="26" fillId="4" borderId="0" xfId="0" applyFont="1" applyFill="1" applyAlignment="1" applyProtection="1">
      <alignment horizontal="left"/>
      <protection hidden="1"/>
    </xf>
    <xf numFmtId="0" fontId="79" fillId="9" borderId="0" xfId="0" applyFont="1" applyFill="1" applyProtection="1">
      <protection hidden="1"/>
    </xf>
    <xf numFmtId="0" fontId="79" fillId="9" borderId="0" xfId="0" applyFont="1" applyFill="1" applyAlignment="1" applyProtection="1">
      <alignment horizontal="left"/>
      <protection hidden="1"/>
    </xf>
    <xf numFmtId="0" fontId="79" fillId="9" borderId="1" xfId="0" applyFont="1" applyFill="1" applyBorder="1" applyProtection="1">
      <protection hidden="1"/>
    </xf>
    <xf numFmtId="0" fontId="3" fillId="10" borderId="0" xfId="0" applyFont="1" applyFill="1" applyProtection="1">
      <protection hidden="1"/>
    </xf>
    <xf numFmtId="0" fontId="44" fillId="0" borderId="8" xfId="1" applyFont="1" applyBorder="1" applyAlignment="1" applyProtection="1">
      <alignment horizontal="center"/>
      <protection locked="0"/>
    </xf>
    <xf numFmtId="0" fontId="3" fillId="0" borderId="0" xfId="0" applyFont="1" applyAlignment="1">
      <alignment vertical="center"/>
    </xf>
    <xf numFmtId="0" fontId="81" fillId="0" borderId="0" xfId="0" applyFont="1" applyAlignment="1">
      <alignment horizontal="left" vertical="center"/>
    </xf>
    <xf numFmtId="0" fontId="83" fillId="0" borderId="0" xfId="0" applyFont="1"/>
    <xf numFmtId="0" fontId="81" fillId="0" borderId="0" xfId="0" applyFont="1"/>
    <xf numFmtId="1" fontId="16" fillId="0" borderId="0" xfId="0" applyNumberFormat="1" applyFont="1" applyAlignment="1" applyProtection="1">
      <alignment horizontal="right"/>
      <protection hidden="1"/>
    </xf>
    <xf numFmtId="0" fontId="3" fillId="0" borderId="1" xfId="0" applyFont="1" applyBorder="1" applyAlignment="1" applyProtection="1">
      <alignment horizontal="left"/>
      <protection hidden="1"/>
    </xf>
    <xf numFmtId="0" fontId="44" fillId="0" borderId="0" xfId="1" applyFont="1" applyAlignment="1" applyProtection="1">
      <alignment horizontal="center"/>
      <protection locked="0"/>
    </xf>
    <xf numFmtId="0" fontId="44" fillId="0" borderId="0" xfId="1" applyFont="1" applyBorder="1" applyAlignment="1" applyProtection="1">
      <alignment horizontal="center"/>
      <protection locked="0"/>
    </xf>
    <xf numFmtId="0" fontId="44" fillId="0" borderId="0" xfId="1" applyFont="1" applyBorder="1" applyAlignment="1" applyProtection="1">
      <protection hidden="1"/>
    </xf>
    <xf numFmtId="2" fontId="3" fillId="6" borderId="0" xfId="0" applyNumberFormat="1" applyFont="1" applyFill="1"/>
    <xf numFmtId="0" fontId="16" fillId="0" borderId="1" xfId="0" applyFont="1" applyBorder="1" applyAlignment="1" applyProtection="1">
      <alignment horizontal="right"/>
      <protection locked="0"/>
    </xf>
    <xf numFmtId="0" fontId="16" fillId="0" borderId="2" xfId="0" applyFont="1" applyBorder="1" applyAlignment="1" applyProtection="1">
      <alignment horizontal="right"/>
      <protection locked="0"/>
    </xf>
    <xf numFmtId="0" fontId="16" fillId="0" borderId="3" xfId="0" applyFont="1" applyBorder="1" applyAlignment="1" applyProtection="1">
      <alignment horizontal="right"/>
      <protection locked="0"/>
    </xf>
    <xf numFmtId="0" fontId="20" fillId="0" borderId="10" xfId="0" applyFont="1" applyBorder="1" applyAlignment="1" applyProtection="1">
      <alignment horizontal="center"/>
      <protection locked="0"/>
    </xf>
    <xf numFmtId="164" fontId="3" fillId="8" borderId="0" xfId="0" applyNumberFormat="1" applyFont="1" applyFill="1"/>
    <xf numFmtId="8" fontId="3" fillId="8" borderId="0" xfId="0" applyNumberFormat="1" applyFont="1" applyFill="1"/>
    <xf numFmtId="164" fontId="6" fillId="0" borderId="14" xfId="0" applyNumberFormat="1" applyFont="1" applyBorder="1" applyAlignment="1" applyProtection="1">
      <alignment horizontal="center"/>
      <protection locked="0"/>
    </xf>
    <xf numFmtId="3" fontId="3" fillId="6" borderId="0" xfId="0" applyNumberFormat="1" applyFont="1" applyFill="1"/>
    <xf numFmtId="164" fontId="3" fillId="6" borderId="0" xfId="0" applyNumberFormat="1" applyFont="1" applyFill="1"/>
    <xf numFmtId="0" fontId="87" fillId="0" borderId="0" xfId="1" applyFont="1" applyAlignment="1" applyProtection="1">
      <alignment horizontal="right"/>
      <protection hidden="1"/>
    </xf>
    <xf numFmtId="0" fontId="0" fillId="0" borderId="3" xfId="0" applyBorder="1" applyProtection="1">
      <protection hidden="1"/>
    </xf>
    <xf numFmtId="164" fontId="0" fillId="0" borderId="3" xfId="0" applyNumberFormat="1" applyBorder="1" applyProtection="1">
      <protection hidden="1"/>
    </xf>
    <xf numFmtId="164" fontId="0" fillId="0" borderId="7" xfId="0" applyNumberFormat="1" applyBorder="1" applyProtection="1">
      <protection hidden="1"/>
    </xf>
    <xf numFmtId="10" fontId="0" fillId="0" borderId="0" xfId="0" applyNumberFormat="1" applyProtection="1">
      <protection hidden="1"/>
    </xf>
    <xf numFmtId="0" fontId="37" fillId="0" borderId="13" xfId="0" applyFont="1" applyBorder="1" applyProtection="1">
      <protection hidden="1"/>
    </xf>
    <xf numFmtId="0" fontId="61" fillId="0" borderId="55" xfId="0" applyFont="1" applyBorder="1" applyAlignment="1" applyProtection="1">
      <alignment horizontal="right"/>
      <protection hidden="1"/>
    </xf>
    <xf numFmtId="0" fontId="90" fillId="12" borderId="8" xfId="0" applyFont="1" applyFill="1" applyBorder="1" applyAlignment="1" applyProtection="1">
      <alignment horizontal="left"/>
      <protection locked="0"/>
    </xf>
    <xf numFmtId="0" fontId="45" fillId="0" borderId="8" xfId="0" applyFont="1" applyBorder="1" applyAlignment="1" applyProtection="1">
      <alignment horizontal="center"/>
      <protection hidden="1"/>
    </xf>
    <xf numFmtId="0" fontId="91" fillId="4" borderId="8" xfId="0" applyFont="1" applyFill="1" applyBorder="1" applyAlignment="1" applyProtection="1">
      <alignment horizontal="center"/>
      <protection hidden="1"/>
    </xf>
    <xf numFmtId="0" fontId="91" fillId="4" borderId="6" xfId="0" applyFont="1" applyFill="1" applyBorder="1" applyAlignment="1" applyProtection="1">
      <alignment horizontal="center"/>
      <protection hidden="1"/>
    </xf>
    <xf numFmtId="0" fontId="91" fillId="4" borderId="8" xfId="0" applyFont="1" applyFill="1" applyBorder="1" applyProtection="1">
      <protection hidden="1"/>
    </xf>
    <xf numFmtId="164" fontId="45" fillId="4" borderId="4" xfId="0" applyNumberFormat="1" applyFont="1" applyFill="1" applyBorder="1" applyAlignment="1" applyProtection="1">
      <alignment horizontal="center"/>
      <protection hidden="1"/>
    </xf>
    <xf numFmtId="0" fontId="91" fillId="0" borderId="8" xfId="0" applyFont="1" applyBorder="1" applyAlignment="1" applyProtection="1">
      <alignment horizontal="right"/>
      <protection hidden="1"/>
    </xf>
    <xf numFmtId="164" fontId="92" fillId="0" borderId="25" xfId="0" applyNumberFormat="1" applyFont="1" applyBorder="1" applyAlignment="1" applyProtection="1">
      <alignment horizontal="center"/>
      <protection hidden="1"/>
    </xf>
    <xf numFmtId="164" fontId="92" fillId="12" borderId="56" xfId="0" applyNumberFormat="1" applyFont="1" applyFill="1" applyBorder="1" applyAlignment="1" applyProtection="1">
      <alignment horizontal="right"/>
      <protection locked="0"/>
    </xf>
    <xf numFmtId="164" fontId="92" fillId="12" borderId="57" xfId="0" applyNumberFormat="1" applyFont="1" applyFill="1" applyBorder="1" applyAlignment="1" applyProtection="1">
      <alignment horizontal="right"/>
      <protection locked="0"/>
    </xf>
    <xf numFmtId="164" fontId="92" fillId="12" borderId="58" xfId="0" applyNumberFormat="1" applyFont="1" applyFill="1" applyBorder="1" applyAlignment="1" applyProtection="1">
      <alignment horizontal="right"/>
      <protection locked="0"/>
    </xf>
    <xf numFmtId="164" fontId="0" fillId="0" borderId="8" xfId="0" applyNumberFormat="1" applyBorder="1" applyProtection="1">
      <protection hidden="1"/>
    </xf>
    <xf numFmtId="0" fontId="0" fillId="0" borderId="25" xfId="0" applyBorder="1" applyProtection="1">
      <protection hidden="1"/>
    </xf>
    <xf numFmtId="164" fontId="0" fillId="0" borderId="25" xfId="0" applyNumberFormat="1" applyBorder="1" applyProtection="1">
      <protection hidden="1"/>
    </xf>
    <xf numFmtId="0" fontId="0" fillId="0" borderId="8" xfId="0" applyBorder="1" applyProtection="1">
      <protection hidden="1"/>
    </xf>
    <xf numFmtId="0" fontId="44" fillId="0" borderId="0" xfId="0" applyFont="1" applyAlignment="1" applyProtection="1">
      <alignment horizontal="center"/>
      <protection hidden="1"/>
    </xf>
    <xf numFmtId="164" fontId="44" fillId="0" borderId="0" xfId="0" applyNumberFormat="1" applyFont="1" applyAlignment="1" applyProtection="1">
      <alignment horizontal="center"/>
      <protection hidden="1"/>
    </xf>
    <xf numFmtId="0" fontId="47" fillId="0" borderId="23" xfId="0" applyFont="1" applyBorder="1" applyAlignment="1" applyProtection="1">
      <alignment horizontal="center"/>
      <protection hidden="1"/>
    </xf>
    <xf numFmtId="0" fontId="47" fillId="0" borderId="8" xfId="0" applyFont="1" applyBorder="1" applyAlignment="1" applyProtection="1">
      <alignment horizontal="center"/>
      <protection hidden="1"/>
    </xf>
    <xf numFmtId="0" fontId="94" fillId="0" borderId="0" xfId="0" applyFont="1" applyAlignment="1" applyProtection="1">
      <alignment horizontal="right"/>
      <protection hidden="1"/>
    </xf>
    <xf numFmtId="1" fontId="37" fillId="0" borderId="0" xfId="0" applyNumberFormat="1" applyFont="1" applyAlignment="1" applyProtection="1">
      <alignment horizontal="center"/>
      <protection hidden="1"/>
    </xf>
    <xf numFmtId="164" fontId="95" fillId="0" borderId="0" xfId="0" applyNumberFormat="1" applyFont="1" applyProtection="1">
      <protection hidden="1"/>
    </xf>
    <xf numFmtId="164" fontId="43" fillId="0" borderId="8" xfId="0" applyNumberFormat="1" applyFont="1" applyBorder="1" applyAlignment="1" applyProtection="1">
      <alignment vertical="center"/>
      <protection hidden="1"/>
    </xf>
    <xf numFmtId="164" fontId="0" fillId="0" borderId="24" xfId="0" applyNumberFormat="1" applyBorder="1" applyProtection="1">
      <protection hidden="1"/>
    </xf>
    <xf numFmtId="0" fontId="96" fillId="0" borderId="0" xfId="0" applyFont="1" applyAlignment="1" applyProtection="1">
      <alignment horizontal="center"/>
      <protection hidden="1"/>
    </xf>
    <xf numFmtId="0" fontId="94" fillId="0" borderId="0" xfId="0" applyFont="1" applyAlignment="1" applyProtection="1">
      <alignment horizontal="center"/>
      <protection hidden="1"/>
    </xf>
    <xf numFmtId="1" fontId="0" fillId="0" borderId="8" xfId="0" applyNumberFormat="1" applyBorder="1" applyAlignment="1" applyProtection="1">
      <alignment horizontal="center"/>
      <protection locked="0"/>
    </xf>
    <xf numFmtId="1" fontId="0" fillId="0" borderId="7" xfId="0" applyNumberFormat="1" applyBorder="1" applyAlignment="1" applyProtection="1">
      <alignment horizontal="center"/>
      <protection locked="0"/>
    </xf>
    <xf numFmtId="0" fontId="27" fillId="0" borderId="1" xfId="0" applyFont="1" applyBorder="1" applyProtection="1">
      <protection hidden="1"/>
    </xf>
    <xf numFmtId="0" fontId="37" fillId="0" borderId="1" xfId="0" applyFont="1" applyBorder="1" applyProtection="1">
      <protection hidden="1"/>
    </xf>
    <xf numFmtId="0" fontId="24" fillId="0" borderId="0" xfId="0" quotePrefix="1" applyFont="1" applyProtection="1">
      <protection hidden="1"/>
    </xf>
    <xf numFmtId="0" fontId="3" fillId="0" borderId="0" xfId="0" quotePrefix="1" applyFont="1" applyProtection="1">
      <protection hidden="1"/>
    </xf>
    <xf numFmtId="168" fontId="0" fillId="0" borderId="0" xfId="0" applyNumberFormat="1" applyProtection="1">
      <protection hidden="1"/>
    </xf>
    <xf numFmtId="14" fontId="0" fillId="0" borderId="0" xfId="0" applyNumberFormat="1" applyAlignment="1" applyProtection="1">
      <alignment horizontal="center"/>
      <protection hidden="1"/>
    </xf>
    <xf numFmtId="20" fontId="0" fillId="0" borderId="0" xfId="0" applyNumberFormat="1" applyAlignment="1" applyProtection="1">
      <alignment horizontal="center"/>
      <protection hidden="1"/>
    </xf>
    <xf numFmtId="0" fontId="0" fillId="0" borderId="0" xfId="0" applyAlignment="1" applyProtection="1">
      <alignment horizontal="center"/>
      <protection hidden="1"/>
    </xf>
    <xf numFmtId="0" fontId="0" fillId="0" borderId="59" xfId="0" applyBorder="1" applyProtection="1">
      <protection hidden="1"/>
    </xf>
    <xf numFmtId="0" fontId="0" fillId="0" borderId="54" xfId="0" applyBorder="1" applyProtection="1">
      <protection hidden="1"/>
    </xf>
    <xf numFmtId="0" fontId="0" fillId="0" borderId="60" xfId="0" applyBorder="1" applyProtection="1">
      <protection hidden="1"/>
    </xf>
    <xf numFmtId="0" fontId="16" fillId="13" borderId="8" xfId="0" applyFont="1" applyFill="1" applyBorder="1" applyAlignment="1" applyProtection="1">
      <alignment horizontal="center"/>
      <protection hidden="1"/>
    </xf>
    <xf numFmtId="0" fontId="5" fillId="0" borderId="8" xfId="0" applyFont="1" applyBorder="1" applyProtection="1">
      <protection hidden="1"/>
    </xf>
    <xf numFmtId="14" fontId="0" fillId="0" borderId="8" xfId="0" applyNumberFormat="1" applyBorder="1" applyProtection="1">
      <protection hidden="1"/>
    </xf>
    <xf numFmtId="168" fontId="0" fillId="0" borderId="8" xfId="0" applyNumberFormat="1" applyBorder="1" applyProtection="1">
      <protection hidden="1"/>
    </xf>
    <xf numFmtId="14" fontId="0" fillId="0" borderId="23" xfId="0" applyNumberFormat="1" applyBorder="1" applyProtection="1">
      <protection hidden="1"/>
    </xf>
    <xf numFmtId="164" fontId="0" fillId="0" borderId="0" xfId="0" applyNumberFormat="1" applyAlignment="1" applyProtection="1">
      <alignment horizontal="center"/>
      <protection hidden="1"/>
    </xf>
    <xf numFmtId="0" fontId="11" fillId="0" borderId="0" xfId="1" applyFill="1" applyBorder="1" applyAlignment="1" applyProtection="1">
      <alignment horizontal="right"/>
      <protection hidden="1"/>
    </xf>
    <xf numFmtId="1" fontId="37" fillId="12" borderId="8" xfId="0" applyNumberFormat="1" applyFont="1" applyFill="1" applyBorder="1" applyAlignment="1" applyProtection="1">
      <alignment horizontal="center"/>
      <protection locked="0"/>
    </xf>
    <xf numFmtId="0" fontId="95" fillId="0" borderId="0" xfId="0" applyFont="1" applyAlignment="1" applyProtection="1">
      <alignment horizontal="right"/>
      <protection hidden="1"/>
    </xf>
    <xf numFmtId="164" fontId="93" fillId="4" borderId="3" xfId="0" applyNumberFormat="1" applyFont="1" applyFill="1" applyBorder="1" applyAlignment="1" applyProtection="1">
      <alignment horizontal="right"/>
      <protection hidden="1"/>
    </xf>
    <xf numFmtId="164" fontId="93" fillId="4" borderId="8" xfId="0" applyNumberFormat="1" applyFont="1" applyFill="1" applyBorder="1" applyAlignment="1" applyProtection="1">
      <alignment horizontal="right"/>
      <protection hidden="1"/>
    </xf>
    <xf numFmtId="164" fontId="37" fillId="0" borderId="25" xfId="0" applyNumberFormat="1" applyFont="1" applyBorder="1" applyProtection="1">
      <protection hidden="1"/>
    </xf>
    <xf numFmtId="1" fontId="37" fillId="0" borderId="3" xfId="0" applyNumberFormat="1" applyFont="1" applyBorder="1" applyAlignment="1" applyProtection="1">
      <alignment horizontal="center"/>
      <protection hidden="1"/>
    </xf>
    <xf numFmtId="164" fontId="95" fillId="0" borderId="7" xfId="0" applyNumberFormat="1" applyFont="1" applyBorder="1" applyAlignment="1" applyProtection="1">
      <alignment horizontal="center"/>
      <protection hidden="1"/>
    </xf>
    <xf numFmtId="164" fontId="0" fillId="4" borderId="0" xfId="0" applyNumberFormat="1" applyFill="1" applyProtection="1">
      <protection hidden="1"/>
    </xf>
    <xf numFmtId="164" fontId="96" fillId="0" borderId="0" xfId="0" applyNumberFormat="1" applyFont="1" applyProtection="1">
      <protection hidden="1"/>
    </xf>
    <xf numFmtId="10" fontId="93" fillId="4" borderId="7" xfId="0" applyNumberFormat="1" applyFont="1" applyFill="1" applyBorder="1" applyAlignment="1" applyProtection="1">
      <alignment horizontal="left"/>
      <protection locked="0"/>
    </xf>
    <xf numFmtId="0" fontId="94" fillId="0" borderId="8" xfId="0" applyFont="1" applyBorder="1" applyAlignment="1" applyProtection="1">
      <alignment horizontal="right"/>
      <protection hidden="1"/>
    </xf>
    <xf numFmtId="0" fontId="28" fillId="0" borderId="8" xfId="0" applyFont="1" applyBorder="1" applyAlignment="1" applyProtection="1">
      <alignment horizontal="right"/>
      <protection hidden="1"/>
    </xf>
    <xf numFmtId="0" fontId="3" fillId="11" borderId="0" xfId="0" applyFont="1" applyFill="1" applyProtection="1">
      <protection hidden="1"/>
    </xf>
    <xf numFmtId="164" fontId="93" fillId="12" borderId="24" xfId="0" applyNumberFormat="1" applyFont="1" applyFill="1" applyBorder="1" applyAlignment="1" applyProtection="1">
      <alignment horizontal="right"/>
      <protection locked="0"/>
    </xf>
    <xf numFmtId="164" fontId="93" fillId="12" borderId="19" xfId="0" applyNumberFormat="1" applyFont="1" applyFill="1" applyBorder="1" applyAlignment="1" applyProtection="1">
      <alignment horizontal="right"/>
      <protection locked="0"/>
    </xf>
    <xf numFmtId="164" fontId="99" fillId="12" borderId="22" xfId="0" applyNumberFormat="1" applyFont="1" applyFill="1" applyBorder="1" applyAlignment="1" applyProtection="1">
      <alignment horizontal="right"/>
      <protection locked="0"/>
    </xf>
    <xf numFmtId="164" fontId="99" fillId="12" borderId="23" xfId="0" applyNumberFormat="1" applyFont="1" applyFill="1" applyBorder="1" applyAlignment="1" applyProtection="1">
      <alignment horizontal="right"/>
      <protection locked="0"/>
    </xf>
    <xf numFmtId="164" fontId="99" fillId="12" borderId="21" xfId="0" applyNumberFormat="1" applyFont="1" applyFill="1" applyBorder="1" applyAlignment="1" applyProtection="1">
      <alignment horizontal="right"/>
      <protection locked="0"/>
    </xf>
    <xf numFmtId="164" fontId="27" fillId="12" borderId="23" xfId="0" applyNumberFormat="1" applyFont="1" applyFill="1" applyBorder="1" applyAlignment="1" applyProtection="1">
      <alignment horizontal="center" vertical="center"/>
      <protection locked="0"/>
    </xf>
    <xf numFmtId="164" fontId="91" fillId="4" borderId="7" xfId="0" applyNumberFormat="1" applyFont="1" applyFill="1" applyBorder="1" applyAlignment="1" applyProtection="1">
      <alignment horizontal="center" vertical="center"/>
      <protection hidden="1"/>
    </xf>
    <xf numFmtId="164" fontId="27" fillId="12" borderId="8" xfId="0" applyNumberFormat="1" applyFont="1" applyFill="1" applyBorder="1" applyAlignment="1" applyProtection="1">
      <alignment horizontal="center" vertical="center"/>
      <protection locked="0"/>
    </xf>
    <xf numFmtId="1" fontId="37" fillId="12" borderId="12" xfId="0" applyNumberFormat="1" applyFont="1" applyFill="1" applyBorder="1" applyAlignment="1" applyProtection="1">
      <alignment horizontal="center"/>
      <protection locked="0"/>
    </xf>
    <xf numFmtId="0" fontId="16" fillId="0" borderId="18" xfId="0" applyFont="1" applyBorder="1" applyAlignment="1" applyProtection="1">
      <alignment horizontal="right"/>
      <protection hidden="1"/>
    </xf>
    <xf numFmtId="164" fontId="27" fillId="0" borderId="12" xfId="0" applyNumberFormat="1" applyFont="1" applyBorder="1" applyAlignment="1" applyProtection="1">
      <alignment horizontal="center"/>
      <protection hidden="1"/>
    </xf>
    <xf numFmtId="0" fontId="27" fillId="0" borderId="19" xfId="0" applyFont="1" applyBorder="1" applyAlignment="1" applyProtection="1">
      <alignment horizontal="center"/>
      <protection hidden="1"/>
    </xf>
    <xf numFmtId="0" fontId="27" fillId="0" borderId="1" xfId="0" applyFont="1" applyBorder="1" applyAlignment="1" applyProtection="1">
      <alignment horizontal="center"/>
      <protection hidden="1"/>
    </xf>
    <xf numFmtId="0" fontId="37" fillId="4" borderId="8" xfId="0" applyFont="1" applyFill="1" applyBorder="1" applyAlignment="1" applyProtection="1">
      <alignment horizontal="center" vertical="center"/>
      <protection hidden="1"/>
    </xf>
    <xf numFmtId="0" fontId="37" fillId="4" borderId="8" xfId="0" applyFont="1" applyFill="1" applyBorder="1" applyAlignment="1" applyProtection="1">
      <alignment vertical="center"/>
      <protection hidden="1"/>
    </xf>
    <xf numFmtId="164" fontId="44" fillId="0" borderId="8" xfId="0" applyNumberFormat="1" applyFont="1" applyBorder="1" applyAlignment="1" applyProtection="1">
      <alignment horizontal="center" vertical="center"/>
      <protection hidden="1"/>
    </xf>
    <xf numFmtId="0" fontId="11" fillId="0" borderId="0" xfId="1" applyAlignment="1" applyProtection="1">
      <protection locked="0"/>
    </xf>
    <xf numFmtId="0" fontId="7" fillId="0" borderId="0" xfId="0" applyFont="1" applyAlignment="1" applyProtection="1">
      <alignment horizontal="center" vertical="center"/>
      <protection hidden="1"/>
    </xf>
    <xf numFmtId="164" fontId="0" fillId="4" borderId="6" xfId="0" applyNumberFormat="1" applyFill="1" applyBorder="1" applyProtection="1">
      <protection hidden="1"/>
    </xf>
    <xf numFmtId="164" fontId="3" fillId="4" borderId="21" xfId="0" applyNumberFormat="1" applyFont="1" applyFill="1" applyBorder="1" applyProtection="1">
      <protection hidden="1"/>
    </xf>
    <xf numFmtId="164" fontId="0" fillId="4" borderId="19" xfId="0" applyNumberFormat="1" applyFill="1" applyBorder="1" applyProtection="1">
      <protection hidden="1"/>
    </xf>
    <xf numFmtId="164" fontId="51" fillId="9" borderId="8" xfId="0" applyNumberFormat="1" applyFont="1" applyFill="1" applyBorder="1" applyProtection="1">
      <protection hidden="1"/>
    </xf>
    <xf numFmtId="164" fontId="51" fillId="15" borderId="8" xfId="0" applyNumberFormat="1" applyFont="1" applyFill="1" applyBorder="1" applyProtection="1">
      <protection hidden="1"/>
    </xf>
    <xf numFmtId="164" fontId="51" fillId="14" borderId="8" xfId="0" applyNumberFormat="1" applyFont="1" applyFill="1" applyBorder="1" applyProtection="1">
      <protection hidden="1"/>
    </xf>
    <xf numFmtId="164" fontId="51" fillId="14" borderId="24" xfId="0" applyNumberFormat="1" applyFont="1" applyFill="1" applyBorder="1" applyProtection="1">
      <protection hidden="1"/>
    </xf>
    <xf numFmtId="0" fontId="51" fillId="15" borderId="23" xfId="0" applyFont="1" applyFill="1" applyBorder="1" applyProtection="1">
      <protection hidden="1"/>
    </xf>
    <xf numFmtId="0" fontId="51" fillId="9" borderId="23" xfId="0" applyFont="1" applyFill="1" applyBorder="1" applyProtection="1">
      <protection hidden="1"/>
    </xf>
    <xf numFmtId="164" fontId="99" fillId="12" borderId="3" xfId="0" applyNumberFormat="1" applyFont="1" applyFill="1" applyBorder="1" applyProtection="1">
      <protection locked="0"/>
    </xf>
    <xf numFmtId="164" fontId="100" fillId="0" borderId="0" xfId="0" applyNumberFormat="1" applyFont="1" applyProtection="1">
      <protection hidden="1"/>
    </xf>
    <xf numFmtId="0" fontId="16" fillId="0" borderId="19" xfId="0" applyFont="1" applyBorder="1" applyAlignment="1" applyProtection="1">
      <alignment horizontal="center"/>
      <protection hidden="1"/>
    </xf>
    <xf numFmtId="164" fontId="28" fillId="0" borderId="7" xfId="0" applyNumberFormat="1" applyFont="1" applyBorder="1" applyProtection="1">
      <protection hidden="1"/>
    </xf>
    <xf numFmtId="164" fontId="85" fillId="4" borderId="8" xfId="0" applyNumberFormat="1" applyFont="1" applyFill="1" applyBorder="1" applyAlignment="1" applyProtection="1">
      <alignment horizontal="center" vertical="center"/>
      <protection hidden="1"/>
    </xf>
    <xf numFmtId="0" fontId="86" fillId="0" borderId="0" xfId="0" applyFont="1" applyProtection="1">
      <protection hidden="1"/>
    </xf>
    <xf numFmtId="0" fontId="3" fillId="0" borderId="25" xfId="0" applyFont="1" applyBorder="1" applyProtection="1">
      <protection hidden="1"/>
    </xf>
    <xf numFmtId="0" fontId="3" fillId="0" borderId="24" xfId="0" applyFont="1" applyBorder="1" applyProtection="1">
      <protection hidden="1"/>
    </xf>
    <xf numFmtId="170" fontId="3" fillId="0" borderId="0" xfId="0" applyNumberFormat="1" applyFont="1" applyProtection="1">
      <protection hidden="1"/>
    </xf>
    <xf numFmtId="164" fontId="0" fillId="6" borderId="23" xfId="0" applyNumberFormat="1" applyFill="1" applyBorder="1" applyProtection="1">
      <protection hidden="1"/>
    </xf>
    <xf numFmtId="0" fontId="0" fillId="6" borderId="25" xfId="0" applyFill="1" applyBorder="1" applyProtection="1">
      <protection hidden="1"/>
    </xf>
    <xf numFmtId="0" fontId="98" fillId="0" borderId="8" xfId="0" applyFont="1" applyBorder="1" applyProtection="1">
      <protection hidden="1"/>
    </xf>
    <xf numFmtId="164" fontId="37" fillId="4" borderId="22" xfId="0" applyNumberFormat="1" applyFont="1" applyFill="1" applyBorder="1" applyAlignment="1" applyProtection="1">
      <alignment horizontal="center"/>
      <protection hidden="1"/>
    </xf>
    <xf numFmtId="1" fontId="37" fillId="4" borderId="23" xfId="0" applyNumberFormat="1" applyFont="1" applyFill="1" applyBorder="1" applyAlignment="1" applyProtection="1">
      <alignment horizontal="center"/>
      <protection hidden="1"/>
    </xf>
    <xf numFmtId="164" fontId="28" fillId="0" borderId="24" xfId="0" applyNumberFormat="1" applyFont="1" applyBorder="1" applyAlignment="1" applyProtection="1">
      <alignment horizontal="center" vertical="center"/>
      <protection hidden="1"/>
    </xf>
    <xf numFmtId="164" fontId="85" fillId="0" borderId="4" xfId="0" applyNumberFormat="1" applyFont="1" applyBorder="1" applyAlignment="1" applyProtection="1">
      <alignment horizontal="center"/>
      <protection hidden="1"/>
    </xf>
    <xf numFmtId="0" fontId="60" fillId="0" borderId="0" xfId="0" applyFont="1" applyProtection="1">
      <protection hidden="1"/>
    </xf>
    <xf numFmtId="1" fontId="0" fillId="0" borderId="8" xfId="0" applyNumberFormat="1" applyBorder="1" applyProtection="1">
      <protection hidden="1"/>
    </xf>
    <xf numFmtId="0" fontId="86" fillId="0" borderId="0" xfId="1" applyFont="1" applyFill="1" applyBorder="1" applyAlignment="1" applyProtection="1">
      <alignment horizontal="center" vertical="center" wrapText="1"/>
      <protection locked="0"/>
    </xf>
    <xf numFmtId="0" fontId="86" fillId="0" borderId="0" xfId="1" applyFont="1" applyAlignment="1" applyProtection="1">
      <alignment horizontal="center" vertical="center" wrapText="1"/>
      <protection locked="0"/>
    </xf>
    <xf numFmtId="164" fontId="23" fillId="0" borderId="5" xfId="0" applyNumberFormat="1" applyFont="1" applyBorder="1" applyProtection="1">
      <protection locked="0"/>
    </xf>
    <xf numFmtId="9" fontId="0" fillId="0" borderId="8" xfId="0" applyNumberFormat="1" applyBorder="1" applyAlignment="1">
      <alignment horizontal="center"/>
    </xf>
    <xf numFmtId="0" fontId="0" fillId="0" borderId="18" xfId="0" applyBorder="1"/>
    <xf numFmtId="0" fontId="0" fillId="0" borderId="7" xfId="0" applyBorder="1"/>
    <xf numFmtId="0" fontId="0" fillId="0" borderId="19" xfId="0" quotePrefix="1" applyBorder="1" applyAlignment="1">
      <alignment horizontal="left" indent="2"/>
    </xf>
    <xf numFmtId="0" fontId="0" fillId="0" borderId="1" xfId="0" applyBorder="1" applyAlignment="1">
      <alignment horizontal="left" indent="2"/>
    </xf>
    <xf numFmtId="0" fontId="0" fillId="0" borderId="4" xfId="0" applyBorder="1" applyAlignment="1">
      <alignment horizontal="left" indent="2"/>
    </xf>
    <xf numFmtId="9" fontId="0" fillId="0" borderId="8" xfId="0" applyNumberFormat="1" applyBorder="1" applyAlignment="1">
      <alignment horizontal="center" vertical="center"/>
    </xf>
    <xf numFmtId="0" fontId="3" fillId="0" borderId="3" xfId="0" applyFont="1" applyBorder="1"/>
    <xf numFmtId="0" fontId="0" fillId="0" borderId="3" xfId="0" applyBorder="1"/>
    <xf numFmtId="0" fontId="11" fillId="0" borderId="0" xfId="1" applyAlignment="1" applyProtection="1"/>
    <xf numFmtId="0" fontId="43" fillId="0" borderId="6" xfId="1" applyFont="1" applyBorder="1" applyAlignment="1" applyProtection="1">
      <alignment horizontal="center" vertical="center"/>
      <protection locked="0"/>
    </xf>
    <xf numFmtId="0" fontId="11" fillId="0" borderId="0" xfId="1" applyAlignment="1" applyProtection="1">
      <alignment vertical="center"/>
    </xf>
    <xf numFmtId="0" fontId="11" fillId="0" borderId="0" xfId="1" applyAlignment="1" applyProtection="1">
      <alignment vertical="center"/>
      <protection hidden="1"/>
    </xf>
    <xf numFmtId="0" fontId="3" fillId="17" borderId="0" xfId="0" applyFont="1" applyFill="1" applyProtection="1">
      <protection hidden="1"/>
    </xf>
    <xf numFmtId="0" fontId="3" fillId="17" borderId="6" xfId="0" applyFont="1" applyFill="1" applyBorder="1" applyProtection="1">
      <protection hidden="1"/>
    </xf>
    <xf numFmtId="0" fontId="3" fillId="17" borderId="0" xfId="0" applyFont="1" applyFill="1"/>
    <xf numFmtId="0" fontId="0" fillId="0" borderId="18" xfId="0" applyBorder="1" applyProtection="1">
      <protection hidden="1"/>
    </xf>
    <xf numFmtId="0" fontId="16" fillId="0" borderId="0" xfId="1" applyFont="1" applyBorder="1" applyAlignment="1" applyProtection="1">
      <alignment horizontal="right"/>
      <protection hidden="1"/>
    </xf>
    <xf numFmtId="0" fontId="16" fillId="23" borderId="0" xfId="0" applyFont="1" applyFill="1" applyAlignment="1" applyProtection="1">
      <alignment horizontal="right"/>
      <protection hidden="1"/>
    </xf>
    <xf numFmtId="164" fontId="16" fillId="23" borderId="0" xfId="0" applyNumberFormat="1" applyFont="1" applyFill="1" applyProtection="1">
      <protection hidden="1"/>
    </xf>
    <xf numFmtId="1" fontId="51" fillId="0" borderId="0" xfId="0" applyNumberFormat="1" applyFont="1" applyProtection="1">
      <protection hidden="1"/>
    </xf>
    <xf numFmtId="20" fontId="3" fillId="0" borderId="0" xfId="0" applyNumberFormat="1" applyFont="1" applyAlignment="1" applyProtection="1">
      <alignment horizontal="center"/>
      <protection hidden="1"/>
    </xf>
    <xf numFmtId="0" fontId="47" fillId="0" borderId="0" xfId="0" applyFont="1" applyProtection="1">
      <protection hidden="1"/>
    </xf>
    <xf numFmtId="0" fontId="102" fillId="0" borderId="0" xfId="0" applyFont="1" applyAlignment="1" applyProtection="1">
      <alignment horizontal="left" indent="4"/>
      <protection hidden="1"/>
    </xf>
    <xf numFmtId="0" fontId="0" fillId="0" borderId="1" xfId="0" applyBorder="1"/>
    <xf numFmtId="0" fontId="3" fillId="6" borderId="8" xfId="0" applyFont="1" applyFill="1" applyBorder="1"/>
    <xf numFmtId="0" fontId="15" fillId="0" borderId="0" xfId="1" applyFont="1" applyBorder="1" applyAlignment="1" applyProtection="1">
      <protection hidden="1"/>
    </xf>
    <xf numFmtId="0" fontId="3" fillId="0" borderId="0" xfId="1" applyFont="1" applyAlignment="1" applyProtection="1">
      <protection hidden="1"/>
    </xf>
    <xf numFmtId="0" fontId="102" fillId="0" borderId="0" xfId="0" applyFont="1" applyAlignment="1" applyProtection="1">
      <alignment horizontal="center"/>
      <protection hidden="1"/>
    </xf>
    <xf numFmtId="0" fontId="102" fillId="0" borderId="0" xfId="0" applyFont="1" applyProtection="1">
      <protection hidden="1"/>
    </xf>
    <xf numFmtId="0" fontId="3" fillId="6" borderId="0" xfId="0" applyFont="1" applyFill="1"/>
    <xf numFmtId="164" fontId="3" fillId="2" borderId="8" xfId="0" applyNumberFormat="1" applyFont="1" applyFill="1" applyBorder="1"/>
    <xf numFmtId="49" fontId="3" fillId="0" borderId="0" xfId="0" applyNumberFormat="1" applyFont="1"/>
    <xf numFmtId="0" fontId="44" fillId="0" borderId="0" xfId="0" applyFont="1"/>
    <xf numFmtId="0" fontId="0" fillId="0" borderId="19" xfId="0" applyBorder="1" applyProtection="1">
      <protection hidden="1"/>
    </xf>
    <xf numFmtId="0" fontId="98" fillId="0" borderId="0" xfId="0" applyFont="1"/>
    <xf numFmtId="164" fontId="98" fillId="0" borderId="0" xfId="0" applyNumberFormat="1" applyFont="1"/>
    <xf numFmtId="0" fontId="6" fillId="0" borderId="65" xfId="0" applyFont="1" applyBorder="1" applyAlignment="1" applyProtection="1">
      <alignment horizontal="right"/>
      <protection hidden="1"/>
    </xf>
    <xf numFmtId="0" fontId="3" fillId="0" borderId="65" xfId="0" applyFont="1" applyBorder="1" applyAlignment="1" applyProtection="1">
      <alignment horizontal="right"/>
      <protection hidden="1"/>
    </xf>
    <xf numFmtId="0" fontId="0" fillId="0" borderId="65" xfId="0" applyBorder="1" applyProtection="1">
      <protection hidden="1"/>
    </xf>
    <xf numFmtId="0" fontId="16" fillId="0" borderId="65" xfId="0" applyFont="1" applyBorder="1" applyAlignment="1" applyProtection="1">
      <alignment horizontal="right"/>
      <protection hidden="1"/>
    </xf>
    <xf numFmtId="0" fontId="0" fillId="0" borderId="65" xfId="0" applyBorder="1" applyAlignment="1" applyProtection="1">
      <alignment horizontal="right"/>
      <protection hidden="1"/>
    </xf>
    <xf numFmtId="0" fontId="6" fillId="0" borderId="73" xfId="0" applyFont="1" applyBorder="1" applyAlignment="1" applyProtection="1">
      <alignment horizontal="right"/>
      <protection hidden="1"/>
    </xf>
    <xf numFmtId="0" fontId="0" fillId="0" borderId="0" xfId="0" applyAlignment="1" applyProtection="1">
      <alignment horizontal="right"/>
      <protection hidden="1"/>
    </xf>
    <xf numFmtId="0" fontId="3" fillId="0" borderId="55" xfId="0" applyFont="1" applyBorder="1" applyProtection="1">
      <protection hidden="1"/>
    </xf>
    <xf numFmtId="0" fontId="3" fillId="0" borderId="13" xfId="0" applyFont="1" applyBorder="1" applyProtection="1">
      <protection hidden="1"/>
    </xf>
    <xf numFmtId="0" fontId="3" fillId="0" borderId="71" xfId="0" applyFont="1" applyBorder="1" applyProtection="1">
      <protection hidden="1"/>
    </xf>
    <xf numFmtId="0" fontId="3" fillId="0" borderId="65" xfId="0" applyFont="1" applyBorder="1" applyProtection="1">
      <protection hidden="1"/>
    </xf>
    <xf numFmtId="0" fontId="3" fillId="0" borderId="72" xfId="0" applyFont="1" applyBorder="1" applyProtection="1">
      <protection hidden="1"/>
    </xf>
    <xf numFmtId="0" fontId="20" fillId="0" borderId="0" xfId="0" applyFont="1" applyAlignment="1" applyProtection="1">
      <alignment horizontal="right"/>
      <protection hidden="1"/>
    </xf>
    <xf numFmtId="0" fontId="98" fillId="0" borderId="72" xfId="0" applyFont="1" applyBorder="1" applyProtection="1">
      <protection hidden="1"/>
    </xf>
    <xf numFmtId="0" fontId="3" fillId="0" borderId="73" xfId="0" applyFont="1" applyBorder="1" applyProtection="1">
      <protection hidden="1"/>
    </xf>
    <xf numFmtId="0" fontId="6" fillId="0" borderId="5" xfId="0" applyFont="1" applyBorder="1" applyAlignment="1" applyProtection="1">
      <alignment horizontal="right"/>
      <protection hidden="1"/>
    </xf>
    <xf numFmtId="0" fontId="22" fillId="6" borderId="0" xfId="0" applyFont="1" applyFill="1" applyProtection="1">
      <protection hidden="1"/>
    </xf>
    <xf numFmtId="8" fontId="16" fillId="0" borderId="20" xfId="0" applyNumberFormat="1" applyFont="1" applyBorder="1" applyAlignment="1" applyProtection="1">
      <alignment horizontal="center" vertical="center"/>
      <protection hidden="1"/>
    </xf>
    <xf numFmtId="0" fontId="16" fillId="6" borderId="64" xfId="0" applyFont="1" applyFill="1" applyBorder="1" applyAlignment="1" applyProtection="1">
      <alignment horizontal="center"/>
      <protection hidden="1"/>
    </xf>
    <xf numFmtId="8" fontId="0" fillId="0" borderId="64" xfId="0" applyNumberFormat="1" applyBorder="1" applyProtection="1">
      <protection hidden="1"/>
    </xf>
    <xf numFmtId="0" fontId="22" fillId="0" borderId="54" xfId="0" applyFont="1" applyBorder="1" applyAlignment="1" applyProtection="1">
      <alignment horizontal="center" vertical="center"/>
      <protection hidden="1"/>
    </xf>
    <xf numFmtId="164" fontId="0" fillId="26" borderId="78" xfId="0" applyNumberFormat="1" applyFill="1" applyBorder="1" applyProtection="1">
      <protection locked="0"/>
    </xf>
    <xf numFmtId="0" fontId="0" fillId="0" borderId="46" xfId="0" applyBorder="1" applyAlignment="1" applyProtection="1">
      <alignment horizontal="right"/>
      <protection hidden="1"/>
    </xf>
    <xf numFmtId="0" fontId="0" fillId="0" borderId="46" xfId="0" applyBorder="1" applyProtection="1">
      <protection hidden="1"/>
    </xf>
    <xf numFmtId="0" fontId="37" fillId="0" borderId="5" xfId="0" applyFont="1" applyBorder="1" applyProtection="1">
      <protection hidden="1"/>
    </xf>
    <xf numFmtId="0" fontId="55" fillId="6" borderId="0" xfId="0" applyFont="1" applyFill="1" applyProtection="1">
      <protection hidden="1"/>
    </xf>
    <xf numFmtId="8" fontId="0" fillId="0" borderId="0" xfId="0" applyNumberFormat="1" applyAlignment="1" applyProtection="1">
      <alignment horizontal="right"/>
      <protection hidden="1"/>
    </xf>
    <xf numFmtId="164" fontId="0" fillId="0" borderId="0" xfId="0" applyNumberFormat="1" applyAlignment="1" applyProtection="1">
      <alignment horizontal="right"/>
      <protection hidden="1"/>
    </xf>
    <xf numFmtId="164" fontId="0" fillId="0" borderId="5" xfId="0" applyNumberFormat="1" applyBorder="1" applyAlignment="1" applyProtection="1">
      <alignment horizontal="right"/>
      <protection hidden="1"/>
    </xf>
    <xf numFmtId="164" fontId="16" fillId="0" borderId="79" xfId="0" applyNumberFormat="1" applyFont="1" applyBorder="1" applyProtection="1">
      <protection hidden="1"/>
    </xf>
    <xf numFmtId="8" fontId="16" fillId="0" borderId="64" xfId="0" applyNumberFormat="1" applyFont="1" applyBorder="1" applyAlignment="1" applyProtection="1">
      <alignment horizontal="center"/>
      <protection hidden="1"/>
    </xf>
    <xf numFmtId="164" fontId="0" fillId="26" borderId="78" xfId="0" applyNumberFormat="1" applyFill="1" applyBorder="1" applyProtection="1">
      <protection hidden="1"/>
    </xf>
    <xf numFmtId="0" fontId="98" fillId="0" borderId="0" xfId="0" applyFont="1" applyProtection="1">
      <protection hidden="1"/>
    </xf>
    <xf numFmtId="8" fontId="55" fillId="0" borderId="0" xfId="0" applyNumberFormat="1" applyFont="1" applyAlignment="1" applyProtection="1">
      <alignment horizontal="center"/>
      <protection hidden="1"/>
    </xf>
    <xf numFmtId="164" fontId="0" fillId="0" borderId="78" xfId="0" applyNumberFormat="1" applyBorder="1" applyProtection="1">
      <protection hidden="1"/>
    </xf>
    <xf numFmtId="164" fontId="0" fillId="26" borderId="79" xfId="0" applyNumberFormat="1" applyFill="1" applyBorder="1" applyProtection="1">
      <protection hidden="1"/>
    </xf>
    <xf numFmtId="0" fontId="6" fillId="0" borderId="81" xfId="0" applyFont="1" applyBorder="1" applyAlignment="1" applyProtection="1">
      <alignment horizontal="right"/>
      <protection hidden="1"/>
    </xf>
    <xf numFmtId="8" fontId="16" fillId="0" borderId="70" xfId="0" applyNumberFormat="1" applyFont="1" applyBorder="1" applyProtection="1">
      <protection hidden="1"/>
    </xf>
    <xf numFmtId="8" fontId="16" fillId="0" borderId="80" xfId="0" applyNumberFormat="1" applyFont="1" applyBorder="1" applyProtection="1">
      <protection hidden="1"/>
    </xf>
    <xf numFmtId="8" fontId="0" fillId="0" borderId="82" xfId="0" applyNumberFormat="1" applyBorder="1" applyProtection="1">
      <protection hidden="1"/>
    </xf>
    <xf numFmtId="0" fontId="6" fillId="4" borderId="3" xfId="0" applyFont="1" applyFill="1" applyBorder="1" applyProtection="1">
      <protection hidden="1"/>
    </xf>
    <xf numFmtId="0" fontId="16" fillId="6" borderId="8" xfId="0" applyFont="1" applyFill="1" applyBorder="1" applyAlignment="1" applyProtection="1">
      <alignment horizontal="center"/>
      <protection hidden="1"/>
    </xf>
    <xf numFmtId="0" fontId="53" fillId="0" borderId="0" xfId="0" applyFont="1" applyProtection="1">
      <protection hidden="1"/>
    </xf>
    <xf numFmtId="164" fontId="0" fillId="0" borderId="0" xfId="0" applyNumberFormat="1"/>
    <xf numFmtId="0" fontId="0" fillId="0" borderId="8" xfId="0" applyBorder="1" applyProtection="1">
      <protection locked="0"/>
    </xf>
    <xf numFmtId="0" fontId="105" fillId="0" borderId="0" xfId="0" applyFont="1"/>
    <xf numFmtId="0" fontId="27" fillId="6" borderId="0" xfId="0" applyFont="1" applyFill="1" applyProtection="1">
      <protection hidden="1"/>
    </xf>
    <xf numFmtId="165" fontId="3" fillId="0" borderId="10" xfId="0" applyNumberFormat="1" applyFont="1" applyBorder="1" applyAlignment="1" applyProtection="1">
      <alignment horizontal="center"/>
      <protection locked="0"/>
    </xf>
    <xf numFmtId="0" fontId="22" fillId="0" borderId="6" xfId="0" applyFont="1" applyBorder="1"/>
    <xf numFmtId="0" fontId="0" fillId="24" borderId="8" xfId="0" applyFill="1" applyBorder="1"/>
    <xf numFmtId="2" fontId="106" fillId="24" borderId="8" xfId="0" applyNumberFormat="1" applyFont="1" applyFill="1" applyBorder="1" applyAlignment="1">
      <alignment vertical="top" shrinkToFit="1"/>
    </xf>
    <xf numFmtId="0" fontId="3" fillId="24" borderId="0" xfId="0" applyFont="1" applyFill="1"/>
    <xf numFmtId="0" fontId="16" fillId="24" borderId="8" xfId="0" applyFont="1" applyFill="1" applyBorder="1"/>
    <xf numFmtId="0" fontId="20" fillId="24" borderId="8" xfId="0" applyFont="1" applyFill="1" applyBorder="1"/>
    <xf numFmtId="0" fontId="3" fillId="24" borderId="3" xfId="0" applyFont="1" applyFill="1" applyBorder="1"/>
    <xf numFmtId="2" fontId="106" fillId="24" borderId="6" xfId="0" applyNumberFormat="1" applyFont="1" applyFill="1" applyBorder="1" applyAlignment="1">
      <alignment vertical="top" shrinkToFit="1"/>
    </xf>
    <xf numFmtId="16" fontId="3" fillId="24" borderId="8" xfId="0" applyNumberFormat="1" applyFont="1" applyFill="1" applyBorder="1"/>
    <xf numFmtId="16" fontId="3" fillId="24" borderId="8" xfId="0" applyNumberFormat="1" applyFont="1" applyFill="1" applyBorder="1" applyAlignment="1">
      <alignment horizontal="center"/>
    </xf>
    <xf numFmtId="2" fontId="106" fillId="0" borderId="83" xfId="0" applyNumberFormat="1" applyFont="1" applyBorder="1" applyAlignment="1">
      <alignment vertical="top" shrinkToFit="1"/>
    </xf>
    <xf numFmtId="0" fontId="3" fillId="24" borderId="8" xfId="0" applyFont="1" applyFill="1" applyBorder="1"/>
    <xf numFmtId="0" fontId="0" fillId="0" borderId="23" xfId="0" applyBorder="1"/>
    <xf numFmtId="0" fontId="3" fillId="0" borderId="24" xfId="0" applyFont="1" applyBorder="1"/>
    <xf numFmtId="2" fontId="0" fillId="24" borderId="8" xfId="0" applyNumberFormat="1" applyFill="1" applyBorder="1"/>
    <xf numFmtId="0" fontId="16" fillId="29" borderId="0" xfId="0" applyFont="1" applyFill="1"/>
    <xf numFmtId="0" fontId="9" fillId="29" borderId="0" xfId="0" applyFont="1" applyFill="1"/>
    <xf numFmtId="0" fontId="107" fillId="0" borderId="0" xfId="0" applyFont="1" applyAlignment="1">
      <alignment vertical="center"/>
    </xf>
    <xf numFmtId="2" fontId="0" fillId="5" borderId="8" xfId="0" applyNumberFormat="1" applyFill="1" applyBorder="1"/>
    <xf numFmtId="2" fontId="0" fillId="0" borderId="8" xfId="0" applyNumberFormat="1" applyBorder="1"/>
    <xf numFmtId="0" fontId="0" fillId="13" borderId="8" xfId="0" applyFill="1" applyBorder="1"/>
    <xf numFmtId="0" fontId="47" fillId="13" borderId="8" xfId="0" applyFont="1" applyFill="1" applyBorder="1"/>
    <xf numFmtId="0" fontId="3" fillId="13" borderId="8" xfId="0" applyFont="1" applyFill="1" applyBorder="1"/>
    <xf numFmtId="164" fontId="3" fillId="13" borderId="8" xfId="0" applyNumberFormat="1" applyFont="1" applyFill="1" applyBorder="1"/>
    <xf numFmtId="0" fontId="47" fillId="0" borderId="8" xfId="0" applyFont="1" applyBorder="1"/>
    <xf numFmtId="0" fontId="47" fillId="25" borderId="8" xfId="0" applyFont="1" applyFill="1" applyBorder="1"/>
    <xf numFmtId="0" fontId="3" fillId="25" borderId="8" xfId="0" applyFont="1" applyFill="1" applyBorder="1"/>
    <xf numFmtId="164" fontId="0" fillId="2" borderId="8" xfId="0" applyNumberFormat="1" applyFill="1" applyBorder="1"/>
    <xf numFmtId="0" fontId="3" fillId="23" borderId="8" xfId="0" applyFont="1" applyFill="1" applyBorder="1"/>
    <xf numFmtId="164" fontId="3" fillId="23" borderId="8" xfId="0" applyNumberFormat="1" applyFont="1" applyFill="1" applyBorder="1"/>
    <xf numFmtId="0" fontId="84" fillId="0" borderId="0" xfId="0" applyFont="1"/>
    <xf numFmtId="2" fontId="106" fillId="0" borderId="88" xfId="0" applyNumberFormat="1" applyFont="1" applyBorder="1" applyAlignment="1">
      <alignment vertical="top" shrinkToFit="1"/>
    </xf>
    <xf numFmtId="164" fontId="0" fillId="0" borderId="8" xfId="0" applyNumberFormat="1" applyBorder="1"/>
    <xf numFmtId="0" fontId="16" fillId="0" borderId="8" xfId="0" applyFont="1" applyBorder="1"/>
    <xf numFmtId="0" fontId="76" fillId="28" borderId="8" xfId="0" applyFont="1" applyFill="1" applyBorder="1"/>
    <xf numFmtId="0" fontId="3" fillId="13" borderId="7" xfId="0" applyFont="1" applyFill="1" applyBorder="1"/>
    <xf numFmtId="171" fontId="0" fillId="0" borderId="8" xfId="0" applyNumberFormat="1" applyBorder="1"/>
    <xf numFmtId="14" fontId="0" fillId="0" borderId="0" xfId="0" applyNumberFormat="1" applyProtection="1">
      <protection hidden="1"/>
    </xf>
    <xf numFmtId="0" fontId="3" fillId="2" borderId="23" xfId="0" applyFont="1" applyFill="1" applyBorder="1"/>
    <xf numFmtId="0" fontId="3" fillId="13" borderId="22" xfId="0" applyFont="1" applyFill="1" applyBorder="1"/>
    <xf numFmtId="0" fontId="3" fillId="25" borderId="23" xfId="0" applyFont="1" applyFill="1" applyBorder="1"/>
    <xf numFmtId="4" fontId="0" fillId="0" borderId="8" xfId="0" applyNumberFormat="1" applyBorder="1"/>
    <xf numFmtId="0" fontId="20" fillId="0" borderId="8" xfId="0" applyFont="1" applyBorder="1"/>
    <xf numFmtId="2" fontId="106" fillId="0" borderId="6" xfId="0" applyNumberFormat="1" applyFont="1" applyBorder="1" applyAlignment="1">
      <alignment vertical="top" shrinkToFit="1"/>
    </xf>
    <xf numFmtId="2" fontId="106" fillId="0" borderId="8" xfId="0" applyNumberFormat="1" applyFont="1" applyBorder="1" applyAlignment="1">
      <alignment vertical="top" shrinkToFit="1"/>
    </xf>
    <xf numFmtId="16" fontId="16" fillId="5" borderId="8" xfId="0" applyNumberFormat="1" applyFont="1" applyFill="1" applyBorder="1" applyAlignment="1">
      <alignment horizontal="center" vertical="center"/>
    </xf>
    <xf numFmtId="0" fontId="5" fillId="0" borderId="18" xfId="0" applyFont="1" applyBorder="1"/>
    <xf numFmtId="0" fontId="108" fillId="0" borderId="0" xfId="0" applyFont="1"/>
    <xf numFmtId="8" fontId="5" fillId="0" borderId="0" xfId="0" applyNumberFormat="1" applyFont="1"/>
    <xf numFmtId="0" fontId="5" fillId="4" borderId="18" xfId="0" applyFont="1" applyFill="1" applyBorder="1" applyProtection="1">
      <protection locked="0"/>
    </xf>
    <xf numFmtId="0" fontId="5" fillId="4" borderId="19" xfId="0" applyFont="1" applyFill="1" applyBorder="1" applyProtection="1">
      <protection locked="0"/>
    </xf>
    <xf numFmtId="0" fontId="5" fillId="4" borderId="21" xfId="0" applyFont="1" applyFill="1" applyBorder="1" applyProtection="1">
      <protection locked="0"/>
    </xf>
    <xf numFmtId="164" fontId="5" fillId="0" borderId="22" xfId="0" applyNumberFormat="1" applyFont="1" applyBorder="1" applyProtection="1">
      <protection locked="0"/>
    </xf>
    <xf numFmtId="164" fontId="5" fillId="0" borderId="12" xfId="0" applyNumberFormat="1" applyFont="1" applyBorder="1" applyProtection="1">
      <protection locked="0"/>
    </xf>
    <xf numFmtId="164" fontId="5" fillId="0" borderId="4" xfId="0" applyNumberFormat="1" applyFont="1" applyBorder="1" applyProtection="1">
      <protection locked="0"/>
    </xf>
    <xf numFmtId="0" fontId="109" fillId="25" borderId="18" xfId="0" applyFont="1" applyFill="1" applyBorder="1" applyProtection="1">
      <protection locked="0"/>
    </xf>
    <xf numFmtId="0" fontId="5" fillId="25" borderId="18" xfId="0" applyFont="1" applyFill="1" applyBorder="1"/>
    <xf numFmtId="164" fontId="109" fillId="25" borderId="12" xfId="0" applyNumberFormat="1" applyFont="1" applyFill="1" applyBorder="1" applyProtection="1">
      <protection locked="0"/>
    </xf>
    <xf numFmtId="164" fontId="5" fillId="0" borderId="0" xfId="0" applyNumberFormat="1" applyFont="1"/>
    <xf numFmtId="14" fontId="5" fillId="4" borderId="68" xfId="0" applyNumberFormat="1" applyFont="1" applyFill="1" applyBorder="1" applyProtection="1">
      <protection locked="0"/>
    </xf>
    <xf numFmtId="0" fontId="5" fillId="0" borderId="91" xfId="0" applyFont="1" applyBorder="1"/>
    <xf numFmtId="0" fontId="108" fillId="0" borderId="0" xfId="0" applyFont="1" applyAlignment="1">
      <alignment wrapText="1"/>
    </xf>
    <xf numFmtId="0" fontId="0" fillId="0" borderId="68" xfId="0" applyBorder="1"/>
    <xf numFmtId="0" fontId="0" fillId="0" borderId="69" xfId="0" applyBorder="1"/>
    <xf numFmtId="0" fontId="5" fillId="0" borderId="66" xfId="0" applyFont="1" applyBorder="1"/>
    <xf numFmtId="0" fontId="116" fillId="0" borderId="0" xfId="0" applyFont="1" applyAlignment="1">
      <alignment vertical="center"/>
    </xf>
    <xf numFmtId="0" fontId="7" fillId="0" borderId="66" xfId="0" applyFont="1" applyBorder="1"/>
    <xf numFmtId="1" fontId="5" fillId="4" borderId="91" xfId="0" applyNumberFormat="1" applyFont="1" applyFill="1" applyBorder="1" applyProtection="1">
      <protection locked="0"/>
    </xf>
    <xf numFmtId="164" fontId="109" fillId="25" borderId="91" xfId="0" applyNumberFormat="1" applyFont="1" applyFill="1" applyBorder="1" applyProtection="1">
      <protection locked="0"/>
    </xf>
    <xf numFmtId="0" fontId="0" fillId="0" borderId="66" xfId="0" applyBorder="1"/>
    <xf numFmtId="0" fontId="0" fillId="0" borderId="67" xfId="0" applyBorder="1"/>
    <xf numFmtId="0" fontId="0" fillId="0" borderId="93" xfId="0" applyBorder="1"/>
    <xf numFmtId="0" fontId="0" fillId="0" borderId="91" xfId="0" applyBorder="1"/>
    <xf numFmtId="0" fontId="3" fillId="26" borderId="8" xfId="0" applyFont="1" applyFill="1" applyBorder="1"/>
    <xf numFmtId="164" fontId="0" fillId="26" borderId="8" xfId="0" applyNumberFormat="1" applyFill="1" applyBorder="1"/>
    <xf numFmtId="0" fontId="0" fillId="26" borderId="8" xfId="0" applyFill="1" applyBorder="1"/>
    <xf numFmtId="0" fontId="84" fillId="20" borderId="8" xfId="0" applyFont="1" applyFill="1" applyBorder="1" applyAlignment="1">
      <alignment horizontal="center" wrapText="1"/>
    </xf>
    <xf numFmtId="2" fontId="84" fillId="20" borderId="8" xfId="0" applyNumberFormat="1" applyFont="1" applyFill="1" applyBorder="1" applyAlignment="1">
      <alignment wrapText="1"/>
    </xf>
    <xf numFmtId="2" fontId="84" fillId="20" borderId="8" xfId="0" applyNumberFormat="1" applyFont="1" applyFill="1" applyBorder="1"/>
    <xf numFmtId="0" fontId="84" fillId="20" borderId="8" xfId="0" applyFont="1" applyFill="1" applyBorder="1"/>
    <xf numFmtId="164" fontId="84" fillId="20" borderId="8" xfId="0" applyNumberFormat="1" applyFont="1" applyFill="1" applyBorder="1"/>
    <xf numFmtId="0" fontId="0" fillId="0" borderId="101" xfId="0" applyBorder="1"/>
    <xf numFmtId="168" fontId="0" fillId="0" borderId="69" xfId="0" applyNumberFormat="1" applyBorder="1"/>
    <xf numFmtId="0" fontId="3" fillId="0" borderId="7" xfId="0" applyFont="1" applyBorder="1"/>
    <xf numFmtId="0" fontId="3" fillId="0" borderId="23" xfId="0" applyFont="1" applyBorder="1"/>
    <xf numFmtId="0" fontId="0" fillId="0" borderId="94" xfId="0" applyBorder="1"/>
    <xf numFmtId="14" fontId="16" fillId="6" borderId="8" xfId="0" applyNumberFormat="1" applyFont="1" applyFill="1" applyBorder="1"/>
    <xf numFmtId="164" fontId="0" fillId="0" borderId="69" xfId="0" applyNumberFormat="1" applyBorder="1"/>
    <xf numFmtId="168" fontId="3" fillId="25" borderId="8" xfId="0" applyNumberFormat="1" applyFont="1" applyFill="1" applyBorder="1" applyProtection="1">
      <protection hidden="1"/>
    </xf>
    <xf numFmtId="49" fontId="5" fillId="0" borderId="0" xfId="0" applyNumberFormat="1" applyFont="1"/>
    <xf numFmtId="0" fontId="7" fillId="0" borderId="0" xfId="0" applyFont="1"/>
    <xf numFmtId="0" fontId="108" fillId="32" borderId="0" xfId="0" applyFont="1" applyFill="1"/>
    <xf numFmtId="0" fontId="5" fillId="0" borderId="111" xfId="0" applyFont="1" applyBorder="1"/>
    <xf numFmtId="0" fontId="5" fillId="0" borderId="112" xfId="0" applyFont="1" applyBorder="1"/>
    <xf numFmtId="0" fontId="5" fillId="0" borderId="113" xfId="0" applyFont="1" applyBorder="1"/>
    <xf numFmtId="0" fontId="7" fillId="0" borderId="114" xfId="0" applyFont="1" applyBorder="1"/>
    <xf numFmtId="0" fontId="5" fillId="0" borderId="115" xfId="0" applyFont="1" applyBorder="1"/>
    <xf numFmtId="0" fontId="5" fillId="0" borderId="114" xfId="0" applyFont="1" applyBorder="1"/>
    <xf numFmtId="0" fontId="5" fillId="0" borderId="117" xfId="0" applyFont="1" applyBorder="1"/>
    <xf numFmtId="0" fontId="5" fillId="31" borderId="114" xfId="0" applyFont="1" applyFill="1" applyBorder="1"/>
    <xf numFmtId="0" fontId="5" fillId="31" borderId="115" xfId="0" applyFont="1" applyFill="1" applyBorder="1"/>
    <xf numFmtId="0" fontId="108" fillId="31" borderId="114" xfId="0" applyFont="1" applyFill="1" applyBorder="1"/>
    <xf numFmtId="0" fontId="7" fillId="0" borderId="118" xfId="0" applyFont="1" applyBorder="1"/>
    <xf numFmtId="0" fontId="5" fillId="0" borderId="119" xfId="0" applyFont="1" applyBorder="1"/>
    <xf numFmtId="14" fontId="5" fillId="4" borderId="114" xfId="0" applyNumberFormat="1" applyFont="1" applyFill="1" applyBorder="1" applyProtection="1">
      <protection locked="0"/>
    </xf>
    <xf numFmtId="2" fontId="5" fillId="4" borderId="114" xfId="0" applyNumberFormat="1" applyFont="1" applyFill="1" applyBorder="1" applyProtection="1">
      <protection locked="0"/>
    </xf>
    <xf numFmtId="0" fontId="5" fillId="4" borderId="120" xfId="0" applyFont="1" applyFill="1" applyBorder="1" applyProtection="1">
      <protection locked="0"/>
    </xf>
    <xf numFmtId="0" fontId="109" fillId="25" borderId="114" xfId="0" applyFont="1" applyFill="1" applyBorder="1" applyProtection="1">
      <protection locked="0"/>
    </xf>
    <xf numFmtId="0" fontId="7" fillId="4" borderId="114" xfId="0" applyFont="1" applyFill="1" applyBorder="1" applyProtection="1">
      <protection locked="0"/>
    </xf>
    <xf numFmtId="0" fontId="7" fillId="4" borderId="121" xfId="0" applyFont="1" applyFill="1" applyBorder="1" applyProtection="1">
      <protection locked="0"/>
    </xf>
    <xf numFmtId="0" fontId="5" fillId="25" borderId="115" xfId="0" applyFont="1" applyFill="1" applyBorder="1"/>
    <xf numFmtId="0" fontId="7" fillId="0" borderId="114" xfId="0" applyFont="1" applyBorder="1" applyAlignment="1">
      <alignment horizontal="center" vertical="center"/>
    </xf>
    <xf numFmtId="164" fontId="5" fillId="4" borderId="114" xfId="0" applyNumberFormat="1" applyFont="1" applyFill="1" applyBorder="1" applyProtection="1">
      <protection locked="0"/>
    </xf>
    <xf numFmtId="164" fontId="5" fillId="4" borderId="116" xfId="0" applyNumberFormat="1" applyFont="1" applyFill="1" applyBorder="1" applyProtection="1">
      <protection locked="0"/>
    </xf>
    <xf numFmtId="0" fontId="5" fillId="0" borderId="114" xfId="0" applyFont="1" applyBorder="1" applyProtection="1">
      <protection hidden="1"/>
    </xf>
    <xf numFmtId="0" fontId="0" fillId="0" borderId="115" xfId="0" applyBorder="1"/>
    <xf numFmtId="0" fontId="109" fillId="0" borderId="115" xfId="0" applyFont="1" applyBorder="1"/>
    <xf numFmtId="1" fontId="109" fillId="25" borderId="117" xfId="0" applyNumberFormat="1" applyFont="1" applyFill="1" applyBorder="1" applyProtection="1">
      <protection locked="0"/>
    </xf>
    <xf numFmtId="14" fontId="120" fillId="0" borderId="115" xfId="0" applyNumberFormat="1" applyFont="1" applyBorder="1" applyProtection="1">
      <protection locked="0"/>
    </xf>
    <xf numFmtId="0" fontId="108" fillId="0" borderId="114" xfId="0" applyFont="1" applyBorder="1"/>
    <xf numFmtId="1" fontId="5" fillId="4" borderId="117" xfId="0" applyNumberFormat="1" applyFont="1" applyFill="1" applyBorder="1" applyProtection="1">
      <protection locked="0"/>
    </xf>
    <xf numFmtId="0" fontId="5" fillId="0" borderId="118" xfId="0" applyFont="1" applyBorder="1"/>
    <xf numFmtId="1" fontId="109" fillId="25" borderId="115" xfId="0" applyNumberFormat="1" applyFont="1" applyFill="1" applyBorder="1" applyProtection="1">
      <protection locked="0"/>
    </xf>
    <xf numFmtId="0" fontId="108" fillId="0" borderId="116" xfId="0" applyFont="1" applyBorder="1"/>
    <xf numFmtId="14" fontId="51" fillId="0" borderId="115" xfId="0" applyNumberFormat="1" applyFont="1" applyBorder="1" applyProtection="1">
      <protection locked="0"/>
    </xf>
    <xf numFmtId="0" fontId="5" fillId="0" borderId="116" xfId="0" applyFont="1" applyBorder="1"/>
    <xf numFmtId="14" fontId="0" fillId="0" borderId="115" xfId="0" applyNumberFormat="1" applyBorder="1" applyProtection="1">
      <protection locked="0"/>
    </xf>
    <xf numFmtId="0" fontId="84" fillId="31" borderId="114" xfId="0" applyFont="1" applyFill="1" applyBorder="1"/>
    <xf numFmtId="168" fontId="0" fillId="0" borderId="0" xfId="0" applyNumberFormat="1"/>
    <xf numFmtId="0" fontId="0" fillId="6" borderId="0" xfId="0" applyFill="1"/>
    <xf numFmtId="14" fontId="0" fillId="0" borderId="0" xfId="0" applyNumberFormat="1"/>
    <xf numFmtId="14" fontId="3" fillId="2" borderId="0" xfId="0" applyNumberFormat="1" applyFont="1" applyFill="1" applyAlignment="1">
      <alignment horizontal="center"/>
    </xf>
    <xf numFmtId="0" fontId="5" fillId="0" borderId="0" xfId="0" applyFont="1" applyAlignment="1">
      <alignment horizontal="center"/>
    </xf>
    <xf numFmtId="8" fontId="16" fillId="0" borderId="64" xfId="0" applyNumberFormat="1" applyFont="1" applyBorder="1" applyProtection="1">
      <protection hidden="1"/>
    </xf>
    <xf numFmtId="8" fontId="22" fillId="0" borderId="63" xfId="0" applyNumberFormat="1" applyFont="1" applyBorder="1" applyProtection="1">
      <protection hidden="1"/>
    </xf>
    <xf numFmtId="0" fontId="55" fillId="0" borderId="0" xfId="0" applyFont="1" applyAlignment="1" applyProtection="1">
      <alignment horizontal="right"/>
      <protection hidden="1"/>
    </xf>
    <xf numFmtId="164" fontId="3" fillId="0" borderId="24" xfId="0" applyNumberFormat="1" applyFont="1" applyBorder="1"/>
    <xf numFmtId="164" fontId="5" fillId="4" borderId="124" xfId="0" applyNumberFormat="1" applyFont="1" applyFill="1" applyBorder="1" applyProtection="1">
      <protection locked="0"/>
    </xf>
    <xf numFmtId="0" fontId="35" fillId="0" borderId="114" xfId="0" applyFont="1" applyBorder="1"/>
    <xf numFmtId="0" fontId="35" fillId="0" borderId="114" xfId="0" applyFont="1" applyBorder="1" applyProtection="1">
      <protection hidden="1"/>
    </xf>
    <xf numFmtId="0" fontId="109" fillId="0" borderId="18" xfId="0" applyFont="1" applyBorder="1" applyAlignment="1">
      <alignment vertical="top" wrapText="1"/>
    </xf>
    <xf numFmtId="0" fontId="109" fillId="0" borderId="115" xfId="0" applyFont="1" applyBorder="1" applyAlignment="1">
      <alignment vertical="top" wrapText="1"/>
    </xf>
    <xf numFmtId="0" fontId="44" fillId="0" borderId="0" xfId="0" applyFont="1" applyAlignment="1">
      <alignment wrapText="1"/>
    </xf>
    <xf numFmtId="14" fontId="108" fillId="4" borderId="114" xfId="0" applyNumberFormat="1" applyFont="1" applyFill="1" applyBorder="1" applyProtection="1">
      <protection locked="0"/>
    </xf>
    <xf numFmtId="0" fontId="84" fillId="0" borderId="114" xfId="0" applyFont="1" applyBorder="1" applyProtection="1">
      <protection hidden="1"/>
    </xf>
    <xf numFmtId="0" fontId="108" fillId="0" borderId="66" xfId="0" applyFont="1" applyBorder="1"/>
    <xf numFmtId="14" fontId="7" fillId="4" borderId="114" xfId="0" applyNumberFormat="1" applyFont="1" applyFill="1" applyBorder="1" applyProtection="1">
      <protection locked="0"/>
    </xf>
    <xf numFmtId="14" fontId="5" fillId="0" borderId="0" xfId="0" applyNumberFormat="1" applyFont="1"/>
    <xf numFmtId="14" fontId="15" fillId="0" borderId="0" xfId="1" applyNumberFormat="1" applyFont="1" applyBorder="1" applyAlignment="1" applyProtection="1">
      <protection hidden="1"/>
    </xf>
    <xf numFmtId="0" fontId="121" fillId="0" borderId="0" xfId="0" applyFont="1"/>
    <xf numFmtId="168" fontId="5" fillId="0" borderId="0" xfId="0" applyNumberFormat="1" applyFont="1"/>
    <xf numFmtId="173" fontId="3" fillId="25" borderId="8" xfId="0" applyNumberFormat="1" applyFont="1" applyFill="1" applyBorder="1" applyProtection="1">
      <protection hidden="1"/>
    </xf>
    <xf numFmtId="0" fontId="118" fillId="0" borderId="0" xfId="0" applyFont="1" applyAlignment="1" applyProtection="1">
      <alignment horizontal="right"/>
      <protection hidden="1"/>
    </xf>
    <xf numFmtId="0" fontId="118" fillId="0" borderId="0" xfId="0" applyFont="1"/>
    <xf numFmtId="0" fontId="67" fillId="26" borderId="8" xfId="0" applyFont="1" applyFill="1" applyBorder="1" applyAlignment="1">
      <alignment horizontal="center" vertical="top"/>
    </xf>
    <xf numFmtId="0" fontId="67" fillId="26" borderId="8" xfId="0" applyFont="1" applyFill="1" applyBorder="1" applyAlignment="1">
      <alignment horizontal="center" vertical="top" wrapText="1"/>
    </xf>
    <xf numFmtId="0" fontId="67" fillId="21" borderId="8" xfId="0" applyFont="1" applyFill="1" applyBorder="1" applyAlignment="1">
      <alignment horizontal="center"/>
    </xf>
    <xf numFmtId="4" fontId="0" fillId="21" borderId="8" xfId="0" applyNumberFormat="1" applyFill="1" applyBorder="1" applyAlignment="1">
      <alignment horizontal="right"/>
    </xf>
    <xf numFmtId="0" fontId="0" fillId="21" borderId="8" xfId="0" applyFill="1" applyBorder="1" applyAlignment="1">
      <alignment horizontal="right"/>
    </xf>
    <xf numFmtId="4" fontId="0" fillId="21" borderId="8" xfId="0" applyNumberFormat="1" applyFill="1" applyBorder="1" applyAlignment="1">
      <alignment horizontal="right" vertical="center"/>
    </xf>
    <xf numFmtId="0" fontId="67" fillId="21" borderId="8" xfId="0" applyFont="1" applyFill="1" applyBorder="1" applyAlignment="1">
      <alignment horizontal="center" wrapText="1"/>
    </xf>
    <xf numFmtId="0" fontId="122" fillId="21" borderId="8" xfId="0" applyFont="1" applyFill="1" applyBorder="1" applyAlignment="1">
      <alignment horizontal="center" wrapText="1"/>
    </xf>
    <xf numFmtId="164" fontId="0" fillId="0" borderId="6" xfId="0" applyNumberFormat="1" applyBorder="1"/>
    <xf numFmtId="0" fontId="3" fillId="25" borderId="126" xfId="0" applyFont="1" applyFill="1" applyBorder="1"/>
    <xf numFmtId="0" fontId="0" fillId="19" borderId="126" xfId="0" applyFill="1" applyBorder="1"/>
    <xf numFmtId="0" fontId="0" fillId="25" borderId="126" xfId="0" applyFill="1" applyBorder="1"/>
    <xf numFmtId="0" fontId="3" fillId="5" borderId="126" xfId="0" applyFont="1" applyFill="1" applyBorder="1"/>
    <xf numFmtId="0" fontId="3" fillId="24" borderId="126" xfId="0" applyFont="1" applyFill="1" applyBorder="1"/>
    <xf numFmtId="0" fontId="76" fillId="28" borderId="126" xfId="0" applyFont="1" applyFill="1" applyBorder="1"/>
    <xf numFmtId="0" fontId="3" fillId="2" borderId="126" xfId="0" applyFont="1" applyFill="1" applyBorder="1"/>
    <xf numFmtId="164" fontId="51" fillId="28" borderId="8" xfId="0" applyNumberFormat="1" applyFont="1" applyFill="1" applyBorder="1"/>
    <xf numFmtId="164" fontId="76" fillId="28" borderId="8" xfId="0" applyNumberFormat="1" applyFont="1" applyFill="1" applyBorder="1"/>
    <xf numFmtId="14" fontId="76" fillId="28" borderId="8" xfId="0" applyNumberFormat="1" applyFont="1" applyFill="1" applyBorder="1"/>
    <xf numFmtId="0" fontId="76" fillId="28" borderId="8" xfId="0" applyFont="1" applyFill="1" applyBorder="1" applyAlignment="1">
      <alignment horizontal="right"/>
    </xf>
    <xf numFmtId="164" fontId="76" fillId="28" borderId="25" xfId="0" applyNumberFormat="1" applyFont="1" applyFill="1" applyBorder="1"/>
    <xf numFmtId="0" fontId="16" fillId="2" borderId="8" xfId="0" applyFont="1" applyFill="1" applyBorder="1"/>
    <xf numFmtId="164" fontId="0" fillId="2" borderId="23" xfId="0" applyNumberFormat="1" applyFill="1" applyBorder="1"/>
    <xf numFmtId="164" fontId="3" fillId="0" borderId="23" xfId="0" applyNumberFormat="1" applyFont="1" applyBorder="1"/>
    <xf numFmtId="171" fontId="0" fillId="2" borderId="8" xfId="0" applyNumberFormat="1" applyFill="1" applyBorder="1"/>
    <xf numFmtId="164" fontId="0" fillId="24" borderId="25" xfId="0" applyNumberFormat="1" applyFill="1" applyBorder="1"/>
    <xf numFmtId="164" fontId="0" fillId="24" borderId="8" xfId="0" applyNumberFormat="1" applyFill="1" applyBorder="1"/>
    <xf numFmtId="164" fontId="3" fillId="5" borderId="8" xfId="0" applyNumberFormat="1" applyFont="1" applyFill="1" applyBorder="1"/>
    <xf numFmtId="164" fontId="0" fillId="5" borderId="8" xfId="0" applyNumberFormat="1" applyFill="1" applyBorder="1"/>
    <xf numFmtId="164" fontId="0" fillId="5" borderId="25" xfId="0" applyNumberFormat="1" applyFill="1" applyBorder="1"/>
    <xf numFmtId="164" fontId="0" fillId="5" borderId="23" xfId="0" applyNumberFormat="1" applyFill="1" applyBorder="1"/>
    <xf numFmtId="164" fontId="3" fillId="5" borderId="23" xfId="0" applyNumberFormat="1" applyFont="1" applyFill="1" applyBorder="1"/>
    <xf numFmtId="14" fontId="3" fillId="0" borderId="0" xfId="0" applyNumberFormat="1" applyFont="1" applyAlignment="1">
      <alignment horizontal="left"/>
    </xf>
    <xf numFmtId="0" fontId="76" fillId="0" borderId="0" xfId="0" applyFont="1"/>
    <xf numFmtId="0" fontId="16" fillId="5" borderId="8" xfId="0" applyFont="1" applyFill="1" applyBorder="1"/>
    <xf numFmtId="164" fontId="16" fillId="5" borderId="8" xfId="0" applyNumberFormat="1" applyFont="1" applyFill="1" applyBorder="1"/>
    <xf numFmtId="0" fontId="3" fillId="5" borderId="127" xfId="0" applyFont="1" applyFill="1" applyBorder="1"/>
    <xf numFmtId="0" fontId="0" fillId="2" borderId="23" xfId="0" applyFill="1" applyBorder="1"/>
    <xf numFmtId="0" fontId="3" fillId="13" borderId="23" xfId="0" applyFont="1" applyFill="1" applyBorder="1"/>
    <xf numFmtId="164" fontId="3" fillId="13" borderId="23" xfId="0" applyNumberFormat="1" applyFont="1" applyFill="1" applyBorder="1"/>
    <xf numFmtId="164" fontId="0" fillId="0" borderId="23" xfId="0" applyNumberFormat="1" applyBorder="1"/>
    <xf numFmtId="0" fontId="3" fillId="25" borderId="128" xfId="0" applyFont="1" applyFill="1" applyBorder="1"/>
    <xf numFmtId="0" fontId="0" fillId="2" borderId="24" xfId="0" applyFill="1" applyBorder="1"/>
    <xf numFmtId="164" fontId="3" fillId="5" borderId="24" xfId="0" applyNumberFormat="1" applyFont="1" applyFill="1" applyBorder="1"/>
    <xf numFmtId="0" fontId="3" fillId="13" borderId="24" xfId="0" applyFont="1" applyFill="1" applyBorder="1"/>
    <xf numFmtId="164" fontId="3" fillId="13" borderId="24" xfId="0" applyNumberFormat="1" applyFont="1" applyFill="1" applyBorder="1"/>
    <xf numFmtId="0" fontId="3" fillId="25" borderId="24" xfId="0" applyFont="1" applyFill="1" applyBorder="1"/>
    <xf numFmtId="14" fontId="0" fillId="0" borderId="24" xfId="0" applyNumberFormat="1" applyBorder="1"/>
    <xf numFmtId="164" fontId="0" fillId="0" borderId="24" xfId="0" applyNumberFormat="1" applyBorder="1"/>
    <xf numFmtId="164" fontId="3" fillId="5" borderId="8" xfId="0" applyNumberFormat="1" applyFont="1" applyFill="1" applyBorder="1" applyAlignment="1">
      <alignment horizontal="right" vertical="center"/>
    </xf>
    <xf numFmtId="0" fontId="3" fillId="6" borderId="126" xfId="0" applyFont="1" applyFill="1" applyBorder="1"/>
    <xf numFmtId="0" fontId="16" fillId="26" borderId="8" xfId="0" applyFont="1" applyFill="1" applyBorder="1"/>
    <xf numFmtId="0" fontId="67" fillId="0" borderId="0" xfId="0" applyFont="1" applyAlignment="1">
      <alignment horizontal="center" vertical="top"/>
    </xf>
    <xf numFmtId="0" fontId="0" fillId="0" borderId="25" xfId="0" applyBorder="1"/>
    <xf numFmtId="0" fontId="123" fillId="0" borderId="8" xfId="0" applyFont="1" applyBorder="1"/>
    <xf numFmtId="0" fontId="67" fillId="35" borderId="129" xfId="0" applyFont="1" applyFill="1" applyBorder="1" applyAlignment="1">
      <alignment horizontal="center" vertical="center"/>
    </xf>
    <xf numFmtId="174" fontId="0" fillId="0" borderId="0" xfId="0" applyNumberFormat="1"/>
    <xf numFmtId="0" fontId="124" fillId="0" borderId="0" xfId="0" applyFont="1" applyAlignment="1">
      <alignment vertical="center"/>
    </xf>
    <xf numFmtId="0" fontId="0" fillId="0" borderId="0" xfId="0" applyAlignment="1">
      <alignment horizontal="left" vertical="center" indent="1"/>
    </xf>
    <xf numFmtId="0" fontId="124" fillId="0" borderId="0" xfId="0" applyFont="1" applyAlignment="1">
      <alignment horizontal="left" vertical="center" indent="1"/>
    </xf>
    <xf numFmtId="0" fontId="126" fillId="0" borderId="0" xfId="0" applyFont="1" applyAlignment="1">
      <alignment vertical="center"/>
    </xf>
    <xf numFmtId="0" fontId="127" fillId="0" borderId="0" xfId="0" applyFont="1" applyAlignment="1">
      <alignment horizontal="left" vertical="center" indent="1"/>
    </xf>
    <xf numFmtId="0" fontId="126" fillId="0" borderId="0" xfId="0" applyFont="1" applyAlignment="1">
      <alignment horizontal="left" vertical="center" indent="2"/>
    </xf>
    <xf numFmtId="0" fontId="0" fillId="0" borderId="0" xfId="0" applyAlignment="1">
      <alignment vertical="center"/>
    </xf>
    <xf numFmtId="0" fontId="61" fillId="0" borderId="0" xfId="0" applyFont="1" applyAlignment="1">
      <alignment vertical="center"/>
    </xf>
    <xf numFmtId="0" fontId="128" fillId="0" borderId="0" xfId="0" applyFont="1" applyAlignment="1">
      <alignment vertical="center"/>
    </xf>
    <xf numFmtId="0" fontId="128" fillId="0" borderId="0" xfId="0" applyFont="1"/>
    <xf numFmtId="0" fontId="129" fillId="0" borderId="0" xfId="0" applyFont="1" applyAlignment="1">
      <alignment vertical="center"/>
    </xf>
    <xf numFmtId="0" fontId="44" fillId="0" borderId="8" xfId="0" applyFont="1" applyBorder="1"/>
    <xf numFmtId="0" fontId="130" fillId="0" borderId="8" xfId="0" applyFont="1" applyBorder="1"/>
    <xf numFmtId="0" fontId="131" fillId="0" borderId="8" xfId="0" applyFont="1" applyBorder="1"/>
    <xf numFmtId="0" fontId="132" fillId="0" borderId="8" xfId="0" applyFont="1" applyBorder="1"/>
    <xf numFmtId="164" fontId="3" fillId="26" borderId="8" xfId="0" applyNumberFormat="1" applyFont="1" applyFill="1" applyBorder="1"/>
    <xf numFmtId="2" fontId="3" fillId="26" borderId="8" xfId="0" applyNumberFormat="1" applyFont="1" applyFill="1" applyBorder="1"/>
    <xf numFmtId="4" fontId="0" fillId="6" borderId="8" xfId="0" applyNumberFormat="1" applyFill="1" applyBorder="1" applyAlignment="1">
      <alignment horizontal="right"/>
    </xf>
    <xf numFmtId="0" fontId="98" fillId="26" borderId="8" xfId="0" applyFont="1" applyFill="1" applyBorder="1"/>
    <xf numFmtId="0" fontId="84" fillId="26" borderId="8" xfId="0" applyFont="1" applyFill="1" applyBorder="1"/>
    <xf numFmtId="0" fontId="84" fillId="0" borderId="8" xfId="0" applyFont="1" applyBorder="1"/>
    <xf numFmtId="0" fontId="98" fillId="0" borderId="8" xfId="0" applyFont="1" applyBorder="1"/>
    <xf numFmtId="0" fontId="133" fillId="0" borderId="0" xfId="0" applyFont="1" applyAlignment="1">
      <alignment vertical="center"/>
    </xf>
    <xf numFmtId="2" fontId="84" fillId="0" borderId="8" xfId="0" applyNumberFormat="1" applyFont="1" applyBorder="1"/>
    <xf numFmtId="0" fontId="16" fillId="6" borderId="8" xfId="0" applyFont="1" applyFill="1" applyBorder="1"/>
    <xf numFmtId="0" fontId="132" fillId="6" borderId="8" xfId="0" applyFont="1" applyFill="1" applyBorder="1"/>
    <xf numFmtId="0" fontId="0" fillId="20" borderId="8" xfId="0" applyFill="1" applyBorder="1"/>
    <xf numFmtId="2" fontId="0" fillId="20" borderId="8" xfId="0" applyNumberFormat="1" applyFill="1" applyBorder="1"/>
    <xf numFmtId="0" fontId="84" fillId="6" borderId="8" xfId="0" applyFont="1" applyFill="1" applyBorder="1"/>
    <xf numFmtId="171" fontId="0" fillId="26" borderId="8" xfId="0" applyNumberFormat="1" applyFill="1" applyBorder="1"/>
    <xf numFmtId="14" fontId="16" fillId="6" borderId="0" xfId="0" applyNumberFormat="1" applyFont="1" applyFill="1" applyAlignment="1">
      <alignment horizontal="left"/>
    </xf>
    <xf numFmtId="0" fontId="0" fillId="0" borderId="92" xfId="0" applyBorder="1"/>
    <xf numFmtId="0" fontId="0" fillId="0" borderId="89" xfId="0" applyBorder="1"/>
    <xf numFmtId="0" fontId="3" fillId="21" borderId="8" xfId="0" applyFont="1" applyFill="1" applyBorder="1"/>
    <xf numFmtId="164" fontId="0" fillId="21" borderId="8" xfId="0" applyNumberFormat="1" applyFill="1" applyBorder="1" applyAlignment="1">
      <alignment horizontal="right"/>
    </xf>
    <xf numFmtId="16" fontId="67" fillId="21" borderId="8" xfId="0" applyNumberFormat="1" applyFont="1" applyFill="1" applyBorder="1" applyAlignment="1">
      <alignment horizontal="center" wrapText="1"/>
    </xf>
    <xf numFmtId="164" fontId="3" fillId="0" borderId="92" xfId="0" applyNumberFormat="1" applyFont="1" applyBorder="1"/>
    <xf numFmtId="164" fontId="98" fillId="26" borderId="8" xfId="0" applyNumberFormat="1" applyFont="1" applyFill="1" applyBorder="1"/>
    <xf numFmtId="164" fontId="84" fillId="26" borderId="8" xfId="0" applyNumberFormat="1" applyFont="1" applyFill="1" applyBorder="1"/>
    <xf numFmtId="164" fontId="16" fillId="26" borderId="8" xfId="0" applyNumberFormat="1" applyFont="1" applyFill="1" applyBorder="1"/>
    <xf numFmtId="164" fontId="84" fillId="6" borderId="8" xfId="0" applyNumberFormat="1" applyFont="1" applyFill="1" applyBorder="1"/>
    <xf numFmtId="164" fontId="3" fillId="6" borderId="8" xfId="0" applyNumberFormat="1" applyFont="1" applyFill="1" applyBorder="1"/>
    <xf numFmtId="164" fontId="84" fillId="0" borderId="8" xfId="0" applyNumberFormat="1" applyFont="1" applyBorder="1"/>
    <xf numFmtId="0" fontId="3" fillId="18" borderId="8" xfId="0" applyFont="1" applyFill="1" applyBorder="1"/>
    <xf numFmtId="20" fontId="0" fillId="18" borderId="8" xfId="0" applyNumberFormat="1" applyFill="1" applyBorder="1"/>
    <xf numFmtId="0" fontId="0" fillId="25" borderId="8" xfId="0" applyFill="1" applyBorder="1"/>
    <xf numFmtId="2" fontId="0" fillId="25" borderId="8" xfId="0" applyNumberFormat="1" applyFill="1" applyBorder="1"/>
    <xf numFmtId="14" fontId="84" fillId="0" borderId="8" xfId="0" applyNumberFormat="1" applyFont="1" applyBorder="1"/>
    <xf numFmtId="0" fontId="3" fillId="19" borderId="126" xfId="0" applyFont="1" applyFill="1" applyBorder="1"/>
    <xf numFmtId="0" fontId="5" fillId="6" borderId="0" xfId="0" applyFont="1" applyFill="1"/>
    <xf numFmtId="0" fontId="76" fillId="28" borderId="127" xfId="0" applyFont="1" applyFill="1" applyBorder="1"/>
    <xf numFmtId="0" fontId="5" fillId="0" borderId="8" xfId="0" applyFont="1" applyBorder="1"/>
    <xf numFmtId="0" fontId="5" fillId="5" borderId="8" xfId="0" applyFont="1" applyFill="1" applyBorder="1"/>
    <xf numFmtId="0" fontId="3" fillId="25" borderId="127" xfId="0" applyFont="1" applyFill="1" applyBorder="1"/>
    <xf numFmtId="0" fontId="5" fillId="0" borderId="126" xfId="0" applyFont="1" applyBorder="1"/>
    <xf numFmtId="0" fontId="3" fillId="0" borderId="126" xfId="0" applyFont="1" applyBorder="1"/>
    <xf numFmtId="0" fontId="108" fillId="0" borderId="115" xfId="0" applyFont="1" applyBorder="1" applyAlignment="1" applyProtection="1">
      <alignment horizontal="left"/>
      <protection locked="0"/>
    </xf>
    <xf numFmtId="0" fontId="5" fillId="36" borderId="8" xfId="0" applyFont="1" applyFill="1" applyBorder="1"/>
    <xf numFmtId="0" fontId="5" fillId="37" borderId="8" xfId="0" applyFont="1" applyFill="1" applyBorder="1"/>
    <xf numFmtId="0" fontId="5" fillId="19" borderId="8" xfId="0" applyFont="1" applyFill="1" applyBorder="1"/>
    <xf numFmtId="0" fontId="47" fillId="26" borderId="8" xfId="0" applyFont="1" applyFill="1" applyBorder="1"/>
    <xf numFmtId="0" fontId="22" fillId="26" borderId="8" xfId="0" applyFont="1" applyFill="1" applyBorder="1"/>
    <xf numFmtId="164" fontId="22" fillId="26" borderId="8" xfId="0" applyNumberFormat="1" applyFont="1" applyFill="1" applyBorder="1"/>
    <xf numFmtId="171" fontId="22" fillId="26" borderId="8" xfId="0" applyNumberFormat="1" applyFont="1" applyFill="1" applyBorder="1"/>
    <xf numFmtId="164" fontId="22" fillId="6" borderId="8" xfId="0" applyNumberFormat="1" applyFont="1" applyFill="1" applyBorder="1"/>
    <xf numFmtId="0" fontId="0" fillId="6" borderId="87" xfId="0" applyFill="1" applyBorder="1"/>
    <xf numFmtId="0" fontId="76" fillId="28" borderId="130" xfId="0" applyFont="1" applyFill="1" applyBorder="1"/>
    <xf numFmtId="0" fontId="3" fillId="25" borderId="130" xfId="0" applyFont="1" applyFill="1" applyBorder="1"/>
    <xf numFmtId="0" fontId="0" fillId="19" borderId="8" xfId="0" applyFill="1" applyBorder="1"/>
    <xf numFmtId="0" fontId="0" fillId="0" borderId="8" xfId="0" applyBorder="1" applyAlignment="1">
      <alignment horizontal="right"/>
    </xf>
    <xf numFmtId="0" fontId="3" fillId="0" borderId="8" xfId="0" applyFont="1" applyBorder="1" applyAlignment="1">
      <alignment horizontal="right"/>
    </xf>
    <xf numFmtId="168" fontId="16" fillId="0" borderId="8" xfId="0" applyNumberFormat="1" applyFont="1" applyBorder="1" applyAlignment="1">
      <alignment horizontal="right"/>
    </xf>
    <xf numFmtId="1" fontId="0" fillId="37" borderId="8" xfId="0" applyNumberFormat="1" applyFill="1" applyBorder="1"/>
    <xf numFmtId="0" fontId="0" fillId="0" borderId="6" xfId="0" applyBorder="1"/>
    <xf numFmtId="0" fontId="3" fillId="0" borderId="6" xfId="0" applyFont="1" applyBorder="1" applyAlignment="1">
      <alignment horizontal="right"/>
    </xf>
    <xf numFmtId="0" fontId="22" fillId="0" borderId="7" xfId="0" applyFont="1" applyBorder="1"/>
    <xf numFmtId="0" fontId="0" fillId="0" borderId="6" xfId="0" applyBorder="1" applyAlignment="1">
      <alignment horizontal="right"/>
    </xf>
    <xf numFmtId="0" fontId="22" fillId="0" borderId="19" xfId="0" applyFont="1" applyBorder="1"/>
    <xf numFmtId="0" fontId="22" fillId="0" borderId="4" xfId="0" applyFont="1" applyBorder="1"/>
    <xf numFmtId="0" fontId="47" fillId="0" borderId="6" xfId="0" applyFont="1" applyBorder="1"/>
    <xf numFmtId="0" fontId="47" fillId="0" borderId="19" xfId="0" applyFont="1" applyBorder="1"/>
    <xf numFmtId="0" fontId="47" fillId="0" borderId="4" xfId="0" applyFont="1" applyBorder="1"/>
    <xf numFmtId="20" fontId="16" fillId="0" borderId="8" xfId="0" applyNumberFormat="1" applyFont="1" applyBorder="1"/>
    <xf numFmtId="168" fontId="16" fillId="0" borderId="8" xfId="0" applyNumberFormat="1" applyFont="1" applyBorder="1"/>
    <xf numFmtId="0" fontId="22" fillId="0" borderId="90" xfId="0" applyFont="1" applyBorder="1" applyAlignment="1">
      <alignment horizontal="center"/>
    </xf>
    <xf numFmtId="168" fontId="0" fillId="37" borderId="66" xfId="0" applyNumberFormat="1" applyFill="1" applyBorder="1"/>
    <xf numFmtId="168" fontId="0" fillId="37" borderId="105" xfId="0" applyNumberFormat="1" applyFill="1" applyBorder="1"/>
    <xf numFmtId="0" fontId="0" fillId="19" borderId="66" xfId="0" applyFill="1" applyBorder="1"/>
    <xf numFmtId="0" fontId="22" fillId="0" borderId="68" xfId="0" applyFont="1" applyBorder="1" applyAlignment="1">
      <alignment horizontal="center"/>
    </xf>
    <xf numFmtId="0" fontId="22" fillId="0" borderId="101" xfId="0" applyFont="1" applyBorder="1"/>
    <xf numFmtId="0" fontId="3" fillId="0" borderId="100" xfId="0" applyFont="1" applyBorder="1" applyAlignment="1">
      <alignment horizontal="center"/>
    </xf>
    <xf numFmtId="1" fontId="22" fillId="0" borderId="101" xfId="0" applyNumberFormat="1" applyFont="1" applyBorder="1" applyAlignment="1">
      <alignment horizontal="left"/>
    </xf>
    <xf numFmtId="0" fontId="3" fillId="0" borderId="103" xfId="0" applyFont="1" applyBorder="1" applyAlignment="1">
      <alignment horizontal="right"/>
    </xf>
    <xf numFmtId="20" fontId="16" fillId="0" borderId="103" xfId="0" applyNumberFormat="1" applyFont="1" applyBorder="1"/>
    <xf numFmtId="0" fontId="22" fillId="0" borderId="102" xfId="0" applyFont="1" applyBorder="1"/>
    <xf numFmtId="0" fontId="22" fillId="0" borderId="107" xfId="0" applyFont="1" applyBorder="1"/>
    <xf numFmtId="0" fontId="22" fillId="0" borderId="104" xfId="0" applyFont="1" applyBorder="1"/>
    <xf numFmtId="0" fontId="134" fillId="0" borderId="68" xfId="0" applyFont="1" applyBorder="1" applyAlignment="1">
      <alignment horizontal="center"/>
    </xf>
    <xf numFmtId="175" fontId="0" fillId="0" borderId="69" xfId="0" applyNumberFormat="1" applyBorder="1"/>
    <xf numFmtId="0" fontId="0" fillId="0" borderId="98" xfId="0" applyBorder="1" applyAlignment="1">
      <alignment horizontal="center" vertical="center"/>
    </xf>
    <xf numFmtId="0" fontId="0" fillId="0" borderId="131" xfId="0" applyBorder="1" applyAlignment="1">
      <alignment horizontal="center" vertical="center"/>
    </xf>
    <xf numFmtId="0" fontId="0" fillId="0" borderId="99" xfId="0" applyBorder="1" applyAlignment="1">
      <alignment horizontal="center" vertical="center"/>
    </xf>
    <xf numFmtId="0" fontId="3" fillId="0" borderId="98" xfId="0" applyFont="1" applyBorder="1" applyAlignment="1">
      <alignment horizontal="center" vertical="center"/>
    </xf>
    <xf numFmtId="0" fontId="3" fillId="0" borderId="131" xfId="0" applyFont="1" applyBorder="1" applyAlignment="1">
      <alignment horizontal="center" vertical="center"/>
    </xf>
    <xf numFmtId="0" fontId="3" fillId="0" borderId="132" xfId="0" applyFont="1" applyBorder="1" applyAlignment="1">
      <alignment horizontal="center" vertical="center"/>
    </xf>
    <xf numFmtId="0" fontId="44" fillId="0" borderId="90" xfId="0" applyFont="1" applyBorder="1" applyAlignment="1">
      <alignment horizontal="center"/>
    </xf>
    <xf numFmtId="0" fontId="44" fillId="0" borderId="68" xfId="0" applyFont="1" applyBorder="1" applyAlignment="1">
      <alignment horizontal="center"/>
    </xf>
    <xf numFmtId="0" fontId="44" fillId="24" borderId="8" xfId="0" applyFont="1" applyFill="1" applyBorder="1"/>
    <xf numFmtId="0" fontId="5" fillId="0" borderId="8" xfId="0" applyFont="1" applyBorder="1" applyAlignment="1">
      <alignment horizontal="right"/>
    </xf>
    <xf numFmtId="20" fontId="0" fillId="0" borderId="8" xfId="0" applyNumberFormat="1" applyBorder="1"/>
    <xf numFmtId="20" fontId="3" fillId="0" borderId="8" xfId="0" applyNumberFormat="1" applyFont="1" applyBorder="1"/>
    <xf numFmtId="0" fontId="3" fillId="0" borderId="8" xfId="0" applyFont="1" applyBorder="1" applyAlignment="1">
      <alignment horizontal="left"/>
    </xf>
    <xf numFmtId="0" fontId="3" fillId="0" borderId="6" xfId="0" applyFont="1" applyBorder="1" applyAlignment="1">
      <alignment horizontal="left"/>
    </xf>
    <xf numFmtId="1" fontId="22" fillId="0" borderId="8" xfId="0" applyNumberFormat="1" applyFont="1" applyBorder="1" applyAlignment="1">
      <alignment horizontal="left"/>
    </xf>
    <xf numFmtId="0" fontId="22" fillId="0" borderId="8" xfId="0" applyFont="1" applyBorder="1" applyAlignment="1">
      <alignment horizontal="left"/>
    </xf>
    <xf numFmtId="1" fontId="22" fillId="0" borderId="0" xfId="0" applyNumberFormat="1" applyFont="1" applyAlignment="1">
      <alignment horizontal="left"/>
    </xf>
    <xf numFmtId="0" fontId="0" fillId="0" borderId="125" xfId="0" applyBorder="1"/>
    <xf numFmtId="0" fontId="47" fillId="0" borderId="12" xfId="0" applyFont="1" applyBorder="1" applyAlignment="1">
      <alignment horizontal="left"/>
    </xf>
    <xf numFmtId="168" fontId="22" fillId="0" borderId="69" xfId="0" applyNumberFormat="1" applyFont="1" applyBorder="1"/>
    <xf numFmtId="0" fontId="50" fillId="0" borderId="0" xfId="0" applyFont="1"/>
    <xf numFmtId="1" fontId="44" fillId="0" borderId="0" xfId="0" applyNumberFormat="1" applyFont="1" applyAlignment="1">
      <alignment horizontal="left"/>
    </xf>
    <xf numFmtId="1" fontId="44" fillId="0" borderId="0" xfId="0" applyNumberFormat="1" applyFont="1"/>
    <xf numFmtId="0" fontId="0" fillId="0" borderId="133" xfId="0" applyBorder="1"/>
    <xf numFmtId="0" fontId="0" fillId="21" borderId="0" xfId="0" applyFill="1"/>
    <xf numFmtId="0" fontId="3" fillId="0" borderId="23" xfId="0" applyFont="1" applyBorder="1" applyAlignment="1">
      <alignment horizontal="right"/>
    </xf>
    <xf numFmtId="20" fontId="16" fillId="0" borderId="23" xfId="0" applyNumberFormat="1" applyFont="1" applyBorder="1"/>
    <xf numFmtId="0" fontId="16" fillId="0" borderId="23" xfId="0" applyFont="1" applyBorder="1"/>
    <xf numFmtId="0" fontId="22" fillId="0" borderId="21" xfId="0" applyFont="1" applyBorder="1"/>
    <xf numFmtId="0" fontId="22" fillId="0" borderId="22" xfId="0" applyFont="1" applyBorder="1"/>
    <xf numFmtId="0" fontId="22" fillId="0" borderId="106" xfId="0" applyFont="1" applyBorder="1"/>
    <xf numFmtId="1" fontId="22" fillId="0" borderId="101" xfId="0" applyNumberFormat="1" applyFont="1" applyBorder="1" applyAlignment="1">
      <alignment horizontal="center"/>
    </xf>
    <xf numFmtId="0" fontId="44" fillId="21" borderId="0" xfId="0" applyFont="1" applyFill="1"/>
    <xf numFmtId="0" fontId="0" fillId="0" borderId="23" xfId="0" applyBorder="1" applyAlignment="1">
      <alignment horizontal="right"/>
    </xf>
    <xf numFmtId="0" fontId="22" fillId="0" borderId="101" xfId="0" applyFont="1" applyBorder="1" applyAlignment="1">
      <alignment horizontal="left"/>
    </xf>
    <xf numFmtId="0" fontId="47" fillId="0" borderId="69" xfId="0" applyFont="1" applyBorder="1" applyAlignment="1">
      <alignment horizontal="left"/>
    </xf>
    <xf numFmtId="0" fontId="22" fillId="0" borderId="106" xfId="0" applyFont="1" applyBorder="1" applyAlignment="1">
      <alignment horizontal="left"/>
    </xf>
    <xf numFmtId="0" fontId="44" fillId="0" borderId="84" xfId="0" applyFont="1" applyBorder="1"/>
    <xf numFmtId="1" fontId="44" fillId="0" borderId="109" xfId="0" applyNumberFormat="1" applyFont="1" applyBorder="1"/>
    <xf numFmtId="0" fontId="44" fillId="0" borderId="96" xfId="0" applyFont="1" applyBorder="1"/>
    <xf numFmtId="0" fontId="44" fillId="0" borderId="109" xfId="0" applyFont="1" applyBorder="1" applyAlignment="1">
      <alignment horizontal="center"/>
    </xf>
    <xf numFmtId="0" fontId="44" fillId="0" borderId="109" xfId="0" applyFont="1" applyBorder="1"/>
    <xf numFmtId="0" fontId="0" fillId="0" borderId="110" xfId="0" applyBorder="1"/>
    <xf numFmtId="1" fontId="44" fillId="0" borderId="109" xfId="0" applyNumberFormat="1" applyFont="1" applyBorder="1" applyAlignment="1">
      <alignment horizontal="center"/>
    </xf>
    <xf numFmtId="0" fontId="0" fillId="0" borderId="85" xfId="0" applyBorder="1"/>
    <xf numFmtId="0" fontId="44" fillId="0" borderId="108" xfId="0" applyFont="1" applyBorder="1"/>
    <xf numFmtId="0" fontId="0" fillId="0" borderId="109" xfId="0" applyBorder="1"/>
    <xf numFmtId="0" fontId="44" fillId="0" borderId="6" xfId="0" applyFont="1" applyBorder="1" applyAlignment="1">
      <alignment horizontal="right"/>
    </xf>
    <xf numFmtId="0" fontId="44" fillId="0" borderId="0" xfId="0" applyFont="1" applyAlignment="1">
      <alignment horizontal="center"/>
    </xf>
    <xf numFmtId="168" fontId="44" fillId="0" borderId="69" xfId="0" applyNumberFormat="1" applyFont="1" applyBorder="1"/>
    <xf numFmtId="0" fontId="44" fillId="21" borderId="8" xfId="0" applyFont="1" applyFill="1" applyBorder="1"/>
    <xf numFmtId="168" fontId="44" fillId="21" borderId="8" xfId="0" applyNumberFormat="1" applyFont="1" applyFill="1" applyBorder="1"/>
    <xf numFmtId="20" fontId="0" fillId="21" borderId="8" xfId="0" applyNumberFormat="1" applyFill="1" applyBorder="1"/>
    <xf numFmtId="0" fontId="0" fillId="4" borderId="0" xfId="0" applyFill="1"/>
    <xf numFmtId="0" fontId="16" fillId="21" borderId="8" xfId="0" applyFont="1" applyFill="1" applyBorder="1"/>
    <xf numFmtId="4" fontId="0" fillId="0" borderId="8" xfId="0" applyNumberFormat="1" applyBorder="1" applyAlignment="1">
      <alignment horizontal="right"/>
    </xf>
    <xf numFmtId="164" fontId="16" fillId="0" borderId="6" xfId="0" applyNumberFormat="1" applyFont="1" applyBorder="1"/>
    <xf numFmtId="0" fontId="0" fillId="26" borderId="0" xfId="0" applyFill="1"/>
    <xf numFmtId="164" fontId="16" fillId="0" borderId="85" xfId="0" applyNumberFormat="1" applyFont="1" applyBorder="1"/>
    <xf numFmtId="0" fontId="3" fillId="0" borderId="84" xfId="0" applyFont="1" applyBorder="1"/>
    <xf numFmtId="0" fontId="16" fillId="0" borderId="85" xfId="0" applyFont="1" applyBorder="1"/>
    <xf numFmtId="0" fontId="3" fillId="0" borderId="85" xfId="0" applyFont="1" applyBorder="1"/>
    <xf numFmtId="0" fontId="104" fillId="0" borderId="19" xfId="1" applyFont="1" applyBorder="1" applyAlignment="1" applyProtection="1">
      <alignment vertical="top"/>
    </xf>
    <xf numFmtId="164" fontId="16" fillId="0" borderId="0" xfId="0" applyNumberFormat="1" applyFont="1"/>
    <xf numFmtId="0" fontId="103" fillId="0" borderId="93" xfId="0" applyFont="1" applyBorder="1" applyAlignment="1" applyProtection="1">
      <alignment horizontal="left" wrapText="1"/>
      <protection hidden="1"/>
    </xf>
    <xf numFmtId="0" fontId="103" fillId="0" borderId="91" xfId="0" applyFont="1" applyBorder="1" applyAlignment="1" applyProtection="1">
      <alignment horizontal="left" wrapText="1"/>
      <protection hidden="1"/>
    </xf>
    <xf numFmtId="0" fontId="103" fillId="0" borderId="94" xfId="0" applyFont="1" applyBorder="1" applyAlignment="1" applyProtection="1">
      <alignment horizontal="left" wrapText="1"/>
      <protection hidden="1"/>
    </xf>
    <xf numFmtId="0" fontId="22" fillId="33" borderId="0" xfId="0" applyFont="1" applyFill="1" applyAlignment="1">
      <alignment horizontal="left"/>
    </xf>
    <xf numFmtId="168" fontId="0" fillId="33" borderId="0" xfId="0" applyNumberFormat="1" applyFill="1"/>
    <xf numFmtId="0" fontId="0" fillId="33" borderId="0" xfId="0" applyFill="1"/>
    <xf numFmtId="20" fontId="0" fillId="33" borderId="0" xfId="0" applyNumberFormat="1" applyFill="1"/>
    <xf numFmtId="0" fontId="22" fillId="33" borderId="0" xfId="0" applyFont="1" applyFill="1" applyAlignment="1">
      <alignment horizontal="center"/>
    </xf>
    <xf numFmtId="0" fontId="135" fillId="0" borderId="0" xfId="0" applyFont="1"/>
    <xf numFmtId="164" fontId="50" fillId="25" borderId="0" xfId="0" applyNumberFormat="1" applyFont="1" applyFill="1"/>
    <xf numFmtId="20" fontId="84" fillId="0" borderId="0" xfId="0" applyNumberFormat="1" applyFont="1" applyAlignment="1">
      <alignment horizontal="left"/>
    </xf>
    <xf numFmtId="0" fontId="0" fillId="26" borderId="66" xfId="0" applyFill="1" applyBorder="1"/>
    <xf numFmtId="168" fontId="0" fillId="21" borderId="0" xfId="0" applyNumberFormat="1" applyFill="1"/>
    <xf numFmtId="0" fontId="7" fillId="4" borderId="91" xfId="0" applyFont="1" applyFill="1" applyBorder="1" applyAlignment="1" applyProtection="1">
      <alignment horizontal="center" wrapText="1"/>
      <protection locked="0"/>
    </xf>
    <xf numFmtId="164" fontId="84" fillId="0" borderId="24" xfId="0" applyNumberFormat="1" applyFont="1" applyBorder="1" applyAlignment="1">
      <alignment horizontal="center" vertical="center" wrapText="1"/>
    </xf>
    <xf numFmtId="0" fontId="112" fillId="0" borderId="25" xfId="0" applyFont="1" applyBorder="1" applyAlignment="1">
      <alignment horizontal="center"/>
    </xf>
    <xf numFmtId="0" fontId="112" fillId="34" borderId="18" xfId="0" applyFont="1" applyFill="1" applyBorder="1"/>
    <xf numFmtId="0" fontId="112" fillId="34" borderId="0" xfId="0" applyFont="1" applyFill="1"/>
    <xf numFmtId="0" fontId="112" fillId="34" borderId="12" xfId="0" applyFont="1" applyFill="1" applyBorder="1"/>
    <xf numFmtId="0" fontId="5" fillId="31" borderId="2" xfId="0" applyFont="1" applyFill="1" applyBorder="1"/>
    <xf numFmtId="0" fontId="108" fillId="31" borderId="1" xfId="0" applyFont="1" applyFill="1" applyBorder="1"/>
    <xf numFmtId="0" fontId="110" fillId="31" borderId="1" xfId="0" applyFont="1" applyFill="1" applyBorder="1"/>
    <xf numFmtId="0" fontId="5" fillId="31" borderId="1" xfId="0" applyFont="1" applyFill="1" applyBorder="1"/>
    <xf numFmtId="0" fontId="0" fillId="0" borderId="114" xfId="0" applyBorder="1"/>
    <xf numFmtId="0" fontId="108" fillId="31" borderId="3" xfId="0" applyFont="1" applyFill="1" applyBorder="1"/>
    <xf numFmtId="0" fontId="5" fillId="31" borderId="3" xfId="0" applyFont="1" applyFill="1" applyBorder="1"/>
    <xf numFmtId="0" fontId="108" fillId="0" borderId="68" xfId="0" applyFont="1" applyBorder="1" applyAlignment="1">
      <alignment vertical="center" wrapText="1"/>
    </xf>
    <xf numFmtId="0" fontId="108" fillId="0" borderId="92" xfId="0" applyFont="1" applyBorder="1" applyAlignment="1">
      <alignment vertical="center" wrapText="1"/>
    </xf>
    <xf numFmtId="0" fontId="108" fillId="0" borderId="89" xfId="0" applyFont="1" applyBorder="1" applyAlignment="1">
      <alignment vertical="center" wrapText="1"/>
    </xf>
    <xf numFmtId="164" fontId="16" fillId="0" borderId="8" xfId="0" applyNumberFormat="1" applyFont="1" applyBorder="1"/>
    <xf numFmtId="164" fontId="3" fillId="26" borderId="78" xfId="0" applyNumberFormat="1" applyFont="1" applyFill="1" applyBorder="1" applyProtection="1">
      <protection locked="0"/>
    </xf>
    <xf numFmtId="8" fontId="16" fillId="0" borderId="134" xfId="0" applyNumberFormat="1" applyFont="1" applyBorder="1" applyAlignment="1" applyProtection="1">
      <alignment horizontal="center" vertical="center"/>
      <protection hidden="1"/>
    </xf>
    <xf numFmtId="0" fontId="45" fillId="0" borderId="0" xfId="0" applyFont="1" applyProtection="1">
      <protection hidden="1"/>
    </xf>
    <xf numFmtId="8" fontId="44" fillId="0" borderId="135" xfId="0" applyNumberFormat="1" applyFont="1" applyBorder="1" applyProtection="1">
      <protection hidden="1"/>
    </xf>
    <xf numFmtId="0" fontId="45" fillId="0" borderId="1" xfId="0" applyFont="1" applyBorder="1" applyProtection="1">
      <protection hidden="1"/>
    </xf>
    <xf numFmtId="8" fontId="44" fillId="0" borderId="136" xfId="0" applyNumberFormat="1" applyFont="1" applyBorder="1" applyProtection="1">
      <protection hidden="1"/>
    </xf>
    <xf numFmtId="0" fontId="16" fillId="0" borderId="7" xfId="0" applyFont="1" applyBorder="1"/>
    <xf numFmtId="0" fontId="16" fillId="0" borderId="96" xfId="0" applyFont="1" applyBorder="1"/>
    <xf numFmtId="164" fontId="16" fillId="21" borderId="8" xfId="0" applyNumberFormat="1" applyFont="1" applyFill="1" applyBorder="1"/>
    <xf numFmtId="164" fontId="50" fillId="30" borderId="0" xfId="0" applyNumberFormat="1" applyFont="1" applyFill="1"/>
    <xf numFmtId="164" fontId="16" fillId="21" borderId="85" xfId="0" applyNumberFormat="1" applyFont="1" applyFill="1" applyBorder="1"/>
    <xf numFmtId="164" fontId="0" fillId="0" borderId="85" xfId="0" applyNumberFormat="1" applyBorder="1"/>
    <xf numFmtId="0" fontId="0" fillId="24" borderId="0" xfId="0" applyFill="1"/>
    <xf numFmtId="0" fontId="111" fillId="20" borderId="8" xfId="0" applyFont="1" applyFill="1" applyBorder="1" applyAlignment="1">
      <alignment horizontal="right"/>
    </xf>
    <xf numFmtId="164" fontId="0" fillId="24" borderId="86" xfId="0" applyNumberFormat="1" applyFill="1" applyBorder="1"/>
    <xf numFmtId="164" fontId="0" fillId="37" borderId="8" xfId="0" applyNumberFormat="1" applyFill="1" applyBorder="1"/>
    <xf numFmtId="164" fontId="0" fillId="26" borderId="0" xfId="0" applyNumberFormat="1" applyFill="1"/>
    <xf numFmtId="164" fontId="16" fillId="21" borderId="96" xfId="0" applyNumberFormat="1" applyFont="1" applyFill="1" applyBorder="1"/>
    <xf numFmtId="0" fontId="0" fillId="0" borderId="0" xfId="0" applyAlignment="1">
      <alignment horizontal="right"/>
    </xf>
    <xf numFmtId="0" fontId="16" fillId="0" borderId="90" xfId="0" applyFont="1" applyBorder="1"/>
    <xf numFmtId="0" fontId="3" fillId="0" borderId="68" xfId="0" applyFont="1" applyBorder="1"/>
    <xf numFmtId="14" fontId="0" fillId="0" borderId="91" xfId="0" applyNumberFormat="1" applyBorder="1" applyAlignment="1">
      <alignment horizontal="center"/>
    </xf>
    <xf numFmtId="0" fontId="0" fillId="0" borderId="91" xfId="0" applyBorder="1" applyAlignment="1">
      <alignment horizontal="left"/>
    </xf>
    <xf numFmtId="14" fontId="0" fillId="0" borderId="91" xfId="0" applyNumberFormat="1" applyBorder="1"/>
    <xf numFmtId="0" fontId="16" fillId="4" borderId="0" xfId="0" applyFont="1" applyFill="1"/>
    <xf numFmtId="164" fontId="0" fillId="4" borderId="8" xfId="0" applyNumberFormat="1" applyFill="1" applyBorder="1"/>
    <xf numFmtId="164" fontId="16" fillId="0" borderId="0" xfId="0" applyNumberFormat="1" applyFont="1" applyAlignment="1">
      <alignment horizontal="center"/>
    </xf>
    <xf numFmtId="0" fontId="44" fillId="30" borderId="21" xfId="0" applyFont="1" applyFill="1" applyBorder="1"/>
    <xf numFmtId="164" fontId="44" fillId="30" borderId="2" xfId="0" applyNumberFormat="1" applyFont="1" applyFill="1" applyBorder="1" applyAlignment="1">
      <alignment horizontal="center"/>
    </xf>
    <xf numFmtId="0" fontId="16" fillId="4" borderId="90" xfId="0" applyFont="1" applyFill="1" applyBorder="1"/>
    <xf numFmtId="0" fontId="0" fillId="4" borderId="66" xfId="0" applyFill="1" applyBorder="1"/>
    <xf numFmtId="1" fontId="0" fillId="4" borderId="0" xfId="0" applyNumberFormat="1" applyFill="1" applyAlignment="1">
      <alignment horizontal="center"/>
    </xf>
    <xf numFmtId="0" fontId="16" fillId="4" borderId="68" xfId="0" applyFont="1" applyFill="1" applyBorder="1"/>
    <xf numFmtId="0" fontId="3" fillId="4" borderId="0" xfId="0" applyFont="1" applyFill="1"/>
    <xf numFmtId="164" fontId="0" fillId="4" borderId="0" xfId="0" applyNumberFormat="1" applyFill="1" applyAlignment="1">
      <alignment horizontal="left"/>
    </xf>
    <xf numFmtId="1" fontId="16" fillId="26" borderId="0" xfId="0" applyNumberFormat="1" applyFont="1" applyFill="1" applyAlignment="1">
      <alignment horizontal="center"/>
    </xf>
    <xf numFmtId="1" fontId="44" fillId="30" borderId="0" xfId="0" applyNumberFormat="1" applyFont="1" applyFill="1" applyAlignment="1">
      <alignment horizontal="center"/>
    </xf>
    <xf numFmtId="164" fontId="44" fillId="30" borderId="69" xfId="0" applyNumberFormat="1" applyFont="1" applyFill="1" applyBorder="1"/>
    <xf numFmtId="0" fontId="73" fillId="0" borderId="0" xfId="0" applyFont="1"/>
    <xf numFmtId="0" fontId="16" fillId="26" borderId="0" xfId="0" applyFont="1" applyFill="1" applyAlignment="1">
      <alignment horizontal="center"/>
    </xf>
    <xf numFmtId="164" fontId="16" fillId="0" borderId="0" xfId="0" applyNumberFormat="1" applyFont="1" applyAlignment="1">
      <alignment horizontal="left"/>
    </xf>
    <xf numFmtId="0" fontId="16" fillId="26" borderId="69" xfId="0" applyFont="1" applyFill="1" applyBorder="1" applyAlignment="1">
      <alignment horizontal="center"/>
    </xf>
    <xf numFmtId="164" fontId="0" fillId="0" borderId="0" xfId="0" applyNumberFormat="1" applyAlignment="1">
      <alignment horizontal="center"/>
    </xf>
    <xf numFmtId="0" fontId="141" fillId="0" borderId="93" xfId="0" applyFont="1" applyBorder="1"/>
    <xf numFmtId="0" fontId="16" fillId="26" borderId="91" xfId="0" applyFont="1" applyFill="1" applyBorder="1"/>
    <xf numFmtId="164" fontId="73" fillId="26" borderId="94" xfId="0" applyNumberFormat="1" applyFont="1" applyFill="1" applyBorder="1"/>
    <xf numFmtId="14" fontId="0" fillId="0" borderId="66" xfId="0" applyNumberFormat="1" applyBorder="1"/>
    <xf numFmtId="0" fontId="44" fillId="0" borderId="69" xfId="0" applyFont="1" applyBorder="1"/>
    <xf numFmtId="0" fontId="3" fillId="4" borderId="68" xfId="0" applyFont="1" applyFill="1" applyBorder="1"/>
    <xf numFmtId="1" fontId="0" fillId="0" borderId="0" xfId="0" applyNumberFormat="1" applyAlignment="1">
      <alignment horizontal="center"/>
    </xf>
    <xf numFmtId="0" fontId="0" fillId="31" borderId="19" xfId="0" applyFill="1" applyBorder="1" applyProtection="1">
      <protection hidden="1"/>
    </xf>
    <xf numFmtId="0" fontId="0" fillId="31" borderId="1" xfId="0" applyFill="1" applyBorder="1" applyProtection="1">
      <protection hidden="1"/>
    </xf>
    <xf numFmtId="0" fontId="0" fillId="31" borderId="4" xfId="0" applyFill="1" applyBorder="1" applyProtection="1">
      <protection hidden="1"/>
    </xf>
    <xf numFmtId="0" fontId="16" fillId="0" borderId="72" xfId="0" applyFont="1" applyBorder="1" applyProtection="1">
      <protection hidden="1"/>
    </xf>
    <xf numFmtId="0" fontId="16" fillId="0" borderId="72" xfId="1" applyFont="1" applyFill="1" applyBorder="1" applyAlignment="1" applyProtection="1">
      <protection hidden="1"/>
    </xf>
    <xf numFmtId="0" fontId="84" fillId="0" borderId="68" xfId="0" applyFont="1" applyBorder="1"/>
    <xf numFmtId="0" fontId="113" fillId="0" borderId="0" xfId="0" applyFont="1" applyAlignment="1">
      <alignment horizontal="center"/>
    </xf>
    <xf numFmtId="0" fontId="84" fillId="0" borderId="6" xfId="0" applyFont="1" applyBorder="1"/>
    <xf numFmtId="0" fontId="111" fillId="0" borderId="0" xfId="0" applyFont="1"/>
    <xf numFmtId="0" fontId="141" fillId="0" borderId="68" xfId="0" applyFont="1" applyBorder="1"/>
    <xf numFmtId="0" fontId="22" fillId="26" borderId="0" xfId="0" applyFont="1" applyFill="1"/>
    <xf numFmtId="0" fontId="143" fillId="26" borderId="0" xfId="0" applyFont="1" applyFill="1"/>
    <xf numFmtId="0" fontId="111" fillId="26" borderId="0" xfId="0" applyFont="1" applyFill="1"/>
    <xf numFmtId="0" fontId="135" fillId="0" borderId="101" xfId="0" applyFont="1" applyBorder="1"/>
    <xf numFmtId="14" fontId="0" fillId="0" borderId="8" xfId="0" applyNumberFormat="1" applyBorder="1"/>
    <xf numFmtId="20" fontId="16" fillId="0" borderId="23" xfId="0" applyNumberFormat="1" applyFont="1" applyBorder="1" applyAlignment="1">
      <alignment horizontal="center"/>
    </xf>
    <xf numFmtId="0" fontId="0" fillId="26" borderId="6" xfId="0" applyFill="1" applyBorder="1"/>
    <xf numFmtId="0" fontId="3" fillId="26" borderId="6" xfId="0" applyFont="1" applyFill="1" applyBorder="1"/>
    <xf numFmtId="168" fontId="0" fillId="26" borderId="8" xfId="0" applyNumberFormat="1" applyFill="1" applyBorder="1"/>
    <xf numFmtId="0" fontId="3" fillId="0" borderId="102" xfId="0" applyFont="1" applyBorder="1" applyAlignment="1">
      <alignment horizontal="right"/>
    </xf>
    <xf numFmtId="0" fontId="22" fillId="0" borderId="137" xfId="0" applyFont="1" applyBorder="1"/>
    <xf numFmtId="0" fontId="22" fillId="26" borderId="86" xfId="0" applyFont="1" applyFill="1" applyBorder="1"/>
    <xf numFmtId="0" fontId="44" fillId="26" borderId="89" xfId="0" applyFont="1" applyFill="1" applyBorder="1" applyAlignment="1">
      <alignment horizontal="center"/>
    </xf>
    <xf numFmtId="0" fontId="84" fillId="0" borderId="86" xfId="0" applyFont="1" applyBorder="1"/>
    <xf numFmtId="0" fontId="84" fillId="0" borderId="110" xfId="0" applyFont="1" applyBorder="1"/>
    <xf numFmtId="0" fontId="108" fillId="17" borderId="115" xfId="0" applyFont="1" applyFill="1" applyBorder="1" applyAlignment="1" applyProtection="1">
      <alignment horizontal="center"/>
      <protection locked="0"/>
    </xf>
    <xf numFmtId="0" fontId="144" fillId="0" borderId="0" xfId="0" applyFont="1"/>
    <xf numFmtId="168" fontId="0" fillId="0" borderId="8" xfId="0" applyNumberFormat="1" applyBorder="1"/>
    <xf numFmtId="20" fontId="84" fillId="0" borderId="0" xfId="0" applyNumberFormat="1" applyFont="1"/>
    <xf numFmtId="0" fontId="0" fillId="8" borderId="0" xfId="0" applyFill="1"/>
    <xf numFmtId="0" fontId="144" fillId="0" borderId="68" xfId="0" applyFont="1" applyBorder="1"/>
    <xf numFmtId="168" fontId="144" fillId="0" borderId="0" xfId="0" applyNumberFormat="1" applyFont="1"/>
    <xf numFmtId="176" fontId="0" fillId="0" borderId="0" xfId="0" applyNumberFormat="1"/>
    <xf numFmtId="20" fontId="5" fillId="0" borderId="0" xfId="0" applyNumberFormat="1" applyFont="1"/>
    <xf numFmtId="0" fontId="98" fillId="0" borderId="86" xfId="0" applyFont="1" applyBorder="1"/>
    <xf numFmtId="164" fontId="0" fillId="26" borderId="6" xfId="0" applyNumberFormat="1" applyFill="1" applyBorder="1"/>
    <xf numFmtId="0" fontId="5" fillId="0" borderId="0" xfId="0" applyFont="1" applyAlignment="1" applyProtection="1">
      <alignment horizontal="center"/>
      <protection hidden="1"/>
    </xf>
    <xf numFmtId="168" fontId="84" fillId="0" borderId="0" xfId="0" applyNumberFormat="1" applyFont="1" applyAlignment="1">
      <alignment horizontal="right"/>
    </xf>
    <xf numFmtId="0" fontId="16" fillId="0" borderId="0" xfId="1" applyFont="1" applyFill="1" applyBorder="1" applyAlignment="1" applyProtection="1">
      <protection hidden="1"/>
    </xf>
    <xf numFmtId="14" fontId="16" fillId="0" borderId="0" xfId="0" applyNumberFormat="1" applyFont="1" applyProtection="1">
      <protection hidden="1"/>
    </xf>
    <xf numFmtId="0" fontId="5" fillId="4" borderId="0" xfId="0" applyFont="1" applyFill="1" applyProtection="1">
      <protection locked="0"/>
    </xf>
    <xf numFmtId="0" fontId="5" fillId="31" borderId="0" xfId="0" applyFont="1" applyFill="1"/>
    <xf numFmtId="0" fontId="5" fillId="31" borderId="0" xfId="0" applyFont="1" applyFill="1" applyAlignment="1">
      <alignment horizontal="center"/>
    </xf>
    <xf numFmtId="0" fontId="7" fillId="0" borderId="139" xfId="0" applyFont="1" applyBorder="1"/>
    <xf numFmtId="0" fontId="7" fillId="0" borderId="0" xfId="0" applyFont="1" applyAlignment="1" applyProtection="1">
      <alignment horizontal="left" vertical="center"/>
      <protection hidden="1"/>
    </xf>
    <xf numFmtId="0" fontId="108" fillId="31" borderId="0" xfId="0" applyFont="1" applyFill="1"/>
    <xf numFmtId="0" fontId="109" fillId="25" borderId="0" xfId="0" applyFont="1" applyFill="1"/>
    <xf numFmtId="0" fontId="5" fillId="25" borderId="0" xfId="0" applyFont="1" applyFill="1"/>
    <xf numFmtId="0" fontId="115" fillId="0" borderId="0" xfId="0" applyFont="1"/>
    <xf numFmtId="0" fontId="109" fillId="0" borderId="0" xfId="0" applyFont="1"/>
    <xf numFmtId="164" fontId="109" fillId="25" borderId="0" xfId="0" applyNumberFormat="1" applyFont="1" applyFill="1" applyProtection="1">
      <protection locked="0"/>
    </xf>
    <xf numFmtId="168" fontId="5" fillId="4" borderId="0" xfId="0" applyNumberFormat="1" applyFont="1" applyFill="1" applyAlignment="1" applyProtection="1">
      <alignment horizontal="center" vertical="center"/>
      <protection locked="0"/>
    </xf>
    <xf numFmtId="0" fontId="114" fillId="0" borderId="0" xfId="0" applyFont="1" applyProtection="1">
      <protection locked="0"/>
    </xf>
    <xf numFmtId="0" fontId="35" fillId="0" borderId="0" xfId="0" applyFont="1"/>
    <xf numFmtId="168" fontId="5" fillId="4" borderId="0" xfId="0" applyNumberFormat="1" applyFont="1" applyFill="1" applyAlignment="1" applyProtection="1">
      <alignment horizontal="center"/>
      <protection locked="0"/>
    </xf>
    <xf numFmtId="0" fontId="112" fillId="0" borderId="0" xfId="0" applyFont="1" applyAlignment="1" applyProtection="1">
      <alignment horizontal="center"/>
      <protection locked="0"/>
    </xf>
    <xf numFmtId="0" fontId="110" fillId="8" borderId="0" xfId="0" applyFont="1" applyFill="1" applyProtection="1">
      <protection locked="0"/>
    </xf>
    <xf numFmtId="0" fontId="108" fillId="0" borderId="0" xfId="0" applyFont="1" applyAlignment="1" applyProtection="1">
      <alignment horizontal="left" vertical="center"/>
      <protection hidden="1"/>
    </xf>
    <xf numFmtId="168" fontId="5" fillId="4" borderId="0" xfId="0" applyNumberFormat="1" applyFont="1" applyFill="1" applyProtection="1">
      <protection locked="0"/>
    </xf>
    <xf numFmtId="168" fontId="114" fillId="0" borderId="0" xfId="0" applyNumberFormat="1" applyFont="1" applyProtection="1">
      <protection locked="0"/>
    </xf>
    <xf numFmtId="0" fontId="114" fillId="0" borderId="0" xfId="0" applyFont="1" applyAlignment="1" applyProtection="1">
      <alignment horizontal="center"/>
      <protection locked="0"/>
    </xf>
    <xf numFmtId="0" fontId="5" fillId="31" borderId="120" xfId="0" applyFont="1" applyFill="1" applyBorder="1"/>
    <xf numFmtId="0" fontId="5" fillId="31" borderId="140" xfId="0" applyFont="1" applyFill="1" applyBorder="1"/>
    <xf numFmtId="0" fontId="84" fillId="31" borderId="121" xfId="0" applyFont="1" applyFill="1" applyBorder="1"/>
    <xf numFmtId="0" fontId="5" fillId="31" borderId="141" xfId="0" applyFont="1" applyFill="1" applyBorder="1"/>
    <xf numFmtId="0" fontId="114" fillId="0" borderId="0" xfId="0" applyFont="1" applyAlignment="1" applyProtection="1">
      <alignment horizontal="left"/>
      <protection locked="0"/>
    </xf>
    <xf numFmtId="0" fontId="110" fillId="0" borderId="0" xfId="0" applyFont="1"/>
    <xf numFmtId="14" fontId="5" fillId="4" borderId="0" xfId="0" applyNumberFormat="1" applyFont="1" applyFill="1" applyProtection="1">
      <protection locked="0"/>
    </xf>
    <xf numFmtId="0" fontId="108" fillId="0" borderId="0" xfId="0" applyFont="1" applyProtection="1">
      <protection locked="0"/>
    </xf>
    <xf numFmtId="1" fontId="5" fillId="4" borderId="0" xfId="0" applyNumberFormat="1" applyFont="1" applyFill="1" applyProtection="1">
      <protection locked="0"/>
    </xf>
    <xf numFmtId="0" fontId="84" fillId="31" borderId="142" xfId="0" applyFont="1" applyFill="1" applyBorder="1"/>
    <xf numFmtId="0" fontId="5" fillId="31" borderId="123" xfId="0" applyFont="1" applyFill="1" applyBorder="1"/>
    <xf numFmtId="0" fontId="108" fillId="8" borderId="0" xfId="0" applyFont="1" applyFill="1" applyProtection="1">
      <protection locked="0"/>
    </xf>
    <xf numFmtId="0" fontId="108" fillId="0" borderId="0" xfId="0" applyFont="1" applyAlignment="1" applyProtection="1">
      <alignment horizontal="center"/>
      <protection locked="0"/>
    </xf>
    <xf numFmtId="0" fontId="109" fillId="0" borderId="0" xfId="0" applyFont="1" applyAlignment="1">
      <alignment horizontal="center"/>
    </xf>
    <xf numFmtId="168" fontId="5" fillId="0" borderId="0" xfId="0" applyNumberFormat="1" applyFont="1" applyProtection="1">
      <protection locked="0"/>
    </xf>
    <xf numFmtId="0" fontId="34" fillId="8" borderId="0" xfId="0" applyFont="1" applyFill="1" applyProtection="1">
      <protection locked="0"/>
    </xf>
    <xf numFmtId="0" fontId="109" fillId="0" borderId="0" xfId="0" applyFont="1" applyAlignment="1">
      <alignment horizontal="center" vertical="center"/>
    </xf>
    <xf numFmtId="0" fontId="5" fillId="0" borderId="143" xfId="0" applyFont="1" applyBorder="1"/>
    <xf numFmtId="0" fontId="5" fillId="0" borderId="144" xfId="0" applyFont="1" applyBorder="1"/>
    <xf numFmtId="0" fontId="5" fillId="0" borderId="145" xfId="0" applyFont="1" applyBorder="1"/>
    <xf numFmtId="0" fontId="147" fillId="0" borderId="68" xfId="0" applyFont="1" applyBorder="1"/>
    <xf numFmtId="0" fontId="147" fillId="0" borderId="0" xfId="0" applyFont="1"/>
    <xf numFmtId="0" fontId="108" fillId="0" borderId="0" xfId="0" applyFont="1" applyProtection="1">
      <protection hidden="1"/>
    </xf>
    <xf numFmtId="0" fontId="150" fillId="19" borderId="66" xfId="0" applyFont="1" applyFill="1" applyBorder="1"/>
    <xf numFmtId="0" fontId="134" fillId="0" borderId="8" xfId="0" applyFont="1" applyBorder="1" applyAlignment="1">
      <alignment horizontal="right"/>
    </xf>
    <xf numFmtId="0" fontId="134" fillId="0" borderId="0" xfId="0" applyFont="1"/>
    <xf numFmtId="0" fontId="134" fillId="0" borderId="6" xfId="0" applyFont="1" applyBorder="1"/>
    <xf numFmtId="0" fontId="134" fillId="0" borderId="23" xfId="0" applyFont="1" applyBorder="1" applyAlignment="1">
      <alignment horizontal="right"/>
    </xf>
    <xf numFmtId="0" fontId="50" fillId="0" borderId="8" xfId="0" applyFont="1" applyBorder="1"/>
    <xf numFmtId="164" fontId="16" fillId="21" borderId="7" xfId="0" applyNumberFormat="1" applyFont="1" applyFill="1" applyBorder="1"/>
    <xf numFmtId="0" fontId="3" fillId="0" borderId="67" xfId="0" applyFont="1" applyBorder="1" applyAlignment="1">
      <alignment horizontal="right"/>
    </xf>
    <xf numFmtId="2" fontId="0" fillId="0" borderId="0" xfId="0" applyNumberFormat="1"/>
    <xf numFmtId="164" fontId="0" fillId="0" borderId="69" xfId="0" applyNumberFormat="1" applyBorder="1" applyAlignment="1">
      <alignment horizontal="right"/>
    </xf>
    <xf numFmtId="0" fontId="44" fillId="30" borderId="91" xfId="0" applyFont="1" applyFill="1" applyBorder="1" applyAlignment="1">
      <alignment horizontal="left"/>
    </xf>
    <xf numFmtId="0" fontId="0" fillId="30" borderId="91" xfId="0" applyFill="1" applyBorder="1"/>
    <xf numFmtId="16" fontId="3" fillId="0" borderId="0" xfId="0" applyNumberFormat="1" applyFont="1" applyAlignment="1">
      <alignment horizontal="right"/>
    </xf>
    <xf numFmtId="20" fontId="84" fillId="0" borderId="8" xfId="0" applyNumberFormat="1" applyFont="1" applyBorder="1"/>
    <xf numFmtId="0" fontId="0" fillId="38" borderId="0" xfId="0" applyFill="1"/>
    <xf numFmtId="0" fontId="22" fillId="38" borderId="6" xfId="0" applyFont="1" applyFill="1" applyBorder="1"/>
    <xf numFmtId="0" fontId="0" fillId="0" borderId="96" xfId="0" applyBorder="1"/>
    <xf numFmtId="0" fontId="3" fillId="0" borderId="68" xfId="0" applyFont="1" applyBorder="1" applyAlignment="1">
      <alignment horizontal="center"/>
    </xf>
    <xf numFmtId="0" fontId="151" fillId="0" borderId="90" xfId="0" applyFont="1" applyBorder="1" applyAlignment="1">
      <alignment horizontal="center"/>
    </xf>
    <xf numFmtId="0" fontId="151" fillId="0" borderId="68" xfId="0" applyFont="1" applyBorder="1" applyAlignment="1">
      <alignment horizontal="center"/>
    </xf>
    <xf numFmtId="0" fontId="22" fillId="39" borderId="21" xfId="0" applyFont="1" applyFill="1" applyBorder="1"/>
    <xf numFmtId="0" fontId="3" fillId="39" borderId="6" xfId="0" applyFont="1" applyFill="1" applyBorder="1" applyAlignment="1">
      <alignment horizontal="right"/>
    </xf>
    <xf numFmtId="0" fontId="3" fillId="39" borderId="23" xfId="0" applyFont="1" applyFill="1" applyBorder="1" applyAlignment="1">
      <alignment horizontal="right"/>
    </xf>
    <xf numFmtId="0" fontId="16" fillId="39" borderId="102" xfId="0" applyFont="1" applyFill="1" applyBorder="1"/>
    <xf numFmtId="0" fontId="3" fillId="39" borderId="103" xfId="0" applyFont="1" applyFill="1" applyBorder="1" applyAlignment="1">
      <alignment horizontal="right"/>
    </xf>
    <xf numFmtId="0" fontId="3" fillId="0" borderId="23" xfId="0" applyFont="1" applyBorder="1" applyAlignment="1">
      <alignment horizontal="center" vertical="center"/>
    </xf>
    <xf numFmtId="20" fontId="144" fillId="0" borderId="0" xfId="0" applyNumberFormat="1" applyFont="1" applyAlignment="1">
      <alignment horizontal="right"/>
    </xf>
    <xf numFmtId="2" fontId="22" fillId="0" borderId="0" xfId="0" applyNumberFormat="1" applyFont="1"/>
    <xf numFmtId="1" fontId="44" fillId="0" borderId="23" xfId="0" applyNumberFormat="1" applyFont="1" applyBorder="1" applyAlignment="1">
      <alignment horizontal="left"/>
    </xf>
    <xf numFmtId="0" fontId="44" fillId="0" borderId="86" xfId="0" applyFont="1" applyBorder="1" applyAlignment="1">
      <alignment horizontal="left"/>
    </xf>
    <xf numFmtId="2" fontId="16" fillId="39" borderId="0" xfId="0" applyNumberFormat="1" applyFont="1" applyFill="1"/>
    <xf numFmtId="2" fontId="3" fillId="39" borderId="0" xfId="0" applyNumberFormat="1" applyFont="1" applyFill="1"/>
    <xf numFmtId="0" fontId="22" fillId="0" borderId="21" xfId="0" applyFont="1" applyBorder="1" applyAlignment="1">
      <alignment horizontal="left"/>
    </xf>
    <xf numFmtId="0" fontId="152" fillId="37" borderId="0" xfId="0" applyFont="1" applyFill="1" applyAlignment="1">
      <alignment vertical="center"/>
    </xf>
    <xf numFmtId="0" fontId="5" fillId="0" borderId="0" xfId="0" applyFont="1" applyAlignment="1">
      <alignment vertical="center"/>
    </xf>
    <xf numFmtId="0" fontId="3" fillId="25" borderId="0" xfId="0" applyFont="1" applyFill="1"/>
    <xf numFmtId="0" fontId="0" fillId="25" borderId="0" xfId="0" applyFill="1"/>
    <xf numFmtId="0" fontId="3" fillId="5" borderId="0" xfId="0" applyFont="1" applyFill="1"/>
    <xf numFmtId="0" fontId="5" fillId="5" borderId="126" xfId="0" applyFont="1" applyFill="1" applyBorder="1"/>
    <xf numFmtId="0" fontId="5" fillId="5" borderId="0" xfId="0" applyFont="1" applyFill="1"/>
    <xf numFmtId="0" fontId="5" fillId="0" borderId="128" xfId="0" applyFont="1" applyBorder="1"/>
    <xf numFmtId="0" fontId="153" fillId="0" borderId="0" xfId="0" applyFont="1"/>
    <xf numFmtId="0" fontId="3" fillId="2" borderId="7" xfId="0" applyFont="1" applyFill="1" applyBorder="1"/>
    <xf numFmtId="0" fontId="5" fillId="0" borderId="87" xfId="0" applyFont="1" applyBorder="1"/>
    <xf numFmtId="0" fontId="3" fillId="5" borderId="146" xfId="0" applyFont="1" applyFill="1" applyBorder="1"/>
    <xf numFmtId="0" fontId="3" fillId="5" borderId="147" xfId="0" applyFont="1" applyFill="1" applyBorder="1"/>
    <xf numFmtId="0" fontId="3" fillId="24" borderId="146" xfId="0" applyFont="1" applyFill="1" applyBorder="1"/>
    <xf numFmtId="0" fontId="3" fillId="25" borderId="146" xfId="0" applyFont="1" applyFill="1" applyBorder="1"/>
    <xf numFmtId="0" fontId="76" fillId="28" borderId="146" xfId="0" applyFont="1" applyFill="1" applyBorder="1"/>
    <xf numFmtId="0" fontId="3" fillId="19" borderId="146" xfId="0" applyFont="1" applyFill="1" applyBorder="1"/>
    <xf numFmtId="0" fontId="3" fillId="2" borderId="146" xfId="0" applyFont="1" applyFill="1" applyBorder="1"/>
    <xf numFmtId="0" fontId="3" fillId="25" borderId="147" xfId="0" applyFont="1" applyFill="1" applyBorder="1"/>
    <xf numFmtId="164" fontId="44" fillId="25" borderId="0" xfId="0" applyNumberFormat="1" applyFont="1" applyFill="1"/>
    <xf numFmtId="164" fontId="50" fillId="30" borderId="86" xfId="0" applyNumberFormat="1" applyFont="1" applyFill="1" applyBorder="1"/>
    <xf numFmtId="0" fontId="44" fillId="30" borderId="18" xfId="0" applyFont="1" applyFill="1" applyBorder="1"/>
    <xf numFmtId="164" fontId="44" fillId="30" borderId="0" xfId="0" applyNumberFormat="1" applyFont="1" applyFill="1" applyAlignment="1">
      <alignment horizontal="center"/>
    </xf>
    <xf numFmtId="164" fontId="16" fillId="4" borderId="150" xfId="0" applyNumberFormat="1" applyFont="1" applyFill="1" applyBorder="1" applyAlignment="1">
      <alignment horizontal="center"/>
    </xf>
    <xf numFmtId="164" fontId="44" fillId="30" borderId="150" xfId="0" applyNumberFormat="1" applyFont="1" applyFill="1" applyBorder="1" applyAlignment="1">
      <alignment horizontal="center"/>
    </xf>
    <xf numFmtId="164" fontId="16" fillId="4" borderId="151" xfId="0" applyNumberFormat="1" applyFont="1" applyFill="1" applyBorder="1" applyAlignment="1">
      <alignment horizontal="center"/>
    </xf>
    <xf numFmtId="0" fontId="152" fillId="0" borderId="0" xfId="0" applyFont="1" applyAlignment="1">
      <alignment vertical="center"/>
    </xf>
    <xf numFmtId="0" fontId="3" fillId="25" borderId="92" xfId="0" applyFont="1" applyFill="1" applyBorder="1"/>
    <xf numFmtId="0" fontId="5" fillId="0" borderId="146" xfId="0" applyFont="1" applyBorder="1"/>
    <xf numFmtId="0" fontId="76" fillId="28" borderId="149" xfId="0" applyFont="1" applyFill="1" applyBorder="1"/>
    <xf numFmtId="0" fontId="0" fillId="19" borderId="130" xfId="0" applyFill="1" applyBorder="1"/>
    <xf numFmtId="0" fontId="0" fillId="25" borderId="127" xfId="0" applyFill="1" applyBorder="1"/>
    <xf numFmtId="0" fontId="3" fillId="5" borderId="128" xfId="0" applyFont="1" applyFill="1" applyBorder="1"/>
    <xf numFmtId="0" fontId="0" fillId="5" borderId="8" xfId="0" applyFill="1" applyBorder="1" applyAlignment="1">
      <alignment horizontal="left"/>
    </xf>
    <xf numFmtId="0" fontId="0" fillId="0" borderId="8" xfId="0" applyBorder="1" applyAlignment="1">
      <alignment horizontal="left"/>
    </xf>
    <xf numFmtId="172" fontId="84" fillId="0" borderId="0" xfId="0" applyNumberFormat="1" applyFont="1"/>
    <xf numFmtId="164" fontId="0" fillId="20" borderId="8" xfId="0" applyNumberFormat="1" applyFill="1" applyBorder="1"/>
    <xf numFmtId="0" fontId="0" fillId="20" borderId="8" xfId="0" applyFill="1" applyBorder="1" applyAlignment="1">
      <alignment horizontal="left"/>
    </xf>
    <xf numFmtId="0" fontId="3" fillId="20" borderId="8" xfId="0" applyFont="1" applyFill="1" applyBorder="1"/>
    <xf numFmtId="0" fontId="44" fillId="20" borderId="8" xfId="0" applyFont="1" applyFill="1" applyBorder="1"/>
    <xf numFmtId="0" fontId="16" fillId="20" borderId="8" xfId="0" applyFont="1" applyFill="1" applyBorder="1"/>
    <xf numFmtId="0" fontId="3" fillId="20" borderId="25" xfId="0" applyFont="1" applyFill="1" applyBorder="1"/>
    <xf numFmtId="164" fontId="0" fillId="20" borderId="25" xfId="0" applyNumberFormat="1" applyFill="1" applyBorder="1"/>
    <xf numFmtId="164" fontId="0" fillId="20" borderId="6" xfId="0" applyNumberFormat="1" applyFill="1" applyBorder="1"/>
    <xf numFmtId="0" fontId="76" fillId="40" borderId="0" xfId="0" applyFont="1" applyFill="1"/>
    <xf numFmtId="0" fontId="3" fillId="37" borderId="0" xfId="0" applyFont="1" applyFill="1"/>
    <xf numFmtId="0" fontId="5" fillId="37" borderId="0" xfId="0" applyFont="1" applyFill="1"/>
    <xf numFmtId="0" fontId="3" fillId="0" borderId="25" xfId="0" applyFont="1" applyBorder="1"/>
    <xf numFmtId="1" fontId="0" fillId="20" borderId="8" xfId="0" applyNumberFormat="1" applyFill="1" applyBorder="1"/>
    <xf numFmtId="164" fontId="16" fillId="20" borderId="0" xfId="0" applyNumberFormat="1" applyFont="1" applyFill="1"/>
    <xf numFmtId="0" fontId="155" fillId="0" borderId="0" xfId="0" applyFont="1"/>
    <xf numFmtId="0" fontId="121" fillId="0" borderId="8" xfId="0" applyFont="1" applyBorder="1"/>
    <xf numFmtId="0" fontId="0" fillId="37" borderId="0" xfId="0" applyFill="1"/>
    <xf numFmtId="164" fontId="0" fillId="37" borderId="0" xfId="0" applyNumberFormat="1" applyFill="1"/>
    <xf numFmtId="20" fontId="84" fillId="0" borderId="24" xfId="0" applyNumberFormat="1" applyFont="1" applyBorder="1"/>
    <xf numFmtId="0" fontId="16" fillId="37" borderId="8" xfId="0" applyFont="1" applyFill="1" applyBorder="1"/>
    <xf numFmtId="0" fontId="134" fillId="24" borderId="8" xfId="0" applyFont="1" applyFill="1" applyBorder="1"/>
    <xf numFmtId="0" fontId="134" fillId="0" borderId="90" xfId="0" applyFont="1" applyBorder="1" applyAlignment="1">
      <alignment horizontal="center"/>
    </xf>
    <xf numFmtId="0" fontId="16" fillId="4" borderId="66" xfId="0" applyFont="1" applyFill="1" applyBorder="1"/>
    <xf numFmtId="0" fontId="5" fillId="37" borderId="146" xfId="0" applyFont="1" applyFill="1" applyBorder="1"/>
    <xf numFmtId="0" fontId="3" fillId="2" borderId="148" xfId="0" applyFont="1" applyFill="1" applyBorder="1"/>
    <xf numFmtId="0" fontId="3" fillId="24" borderId="148" xfId="0" applyFont="1" applyFill="1" applyBorder="1"/>
    <xf numFmtId="0" fontId="3" fillId="0" borderId="0" xfId="0" applyFont="1" applyAlignment="1">
      <alignment vertical="top" wrapText="1"/>
    </xf>
    <xf numFmtId="8" fontId="16" fillId="6" borderId="64" xfId="0" applyNumberFormat="1" applyFont="1" applyFill="1" applyBorder="1" applyProtection="1">
      <protection hidden="1"/>
    </xf>
    <xf numFmtId="0" fontId="16" fillId="6" borderId="65" xfId="0" applyFont="1" applyFill="1" applyBorder="1" applyAlignment="1" applyProtection="1">
      <alignment horizontal="right"/>
      <protection hidden="1"/>
    </xf>
    <xf numFmtId="164" fontId="16" fillId="6" borderId="0" xfId="0" applyNumberFormat="1" applyFont="1" applyFill="1" applyAlignment="1" applyProtection="1">
      <alignment horizontal="right"/>
      <protection hidden="1"/>
    </xf>
    <xf numFmtId="0" fontId="84" fillId="0" borderId="0" xfId="0" applyFont="1" applyProtection="1">
      <protection hidden="1"/>
    </xf>
    <xf numFmtId="164" fontId="22" fillId="0" borderId="0" xfId="0" applyNumberFormat="1" applyFont="1"/>
    <xf numFmtId="0" fontId="84" fillId="0" borderId="89" xfId="0" applyFont="1" applyBorder="1"/>
    <xf numFmtId="0" fontId="47" fillId="0" borderId="8" xfId="0" applyFont="1" applyBorder="1" applyAlignment="1">
      <alignment horizontal="center"/>
    </xf>
    <xf numFmtId="0" fontId="157" fillId="0" borderId="93" xfId="0" applyFont="1" applyBorder="1"/>
    <xf numFmtId="164" fontId="84" fillId="0" borderId="0" xfId="0" applyNumberFormat="1" applyFont="1"/>
    <xf numFmtId="164" fontId="16" fillId="26" borderId="94" xfId="0" applyNumberFormat="1" applyFont="1" applyFill="1" applyBorder="1"/>
    <xf numFmtId="1" fontId="0" fillId="0" borderId="0" xfId="0" applyNumberFormat="1"/>
    <xf numFmtId="164" fontId="16" fillId="0" borderId="67" xfId="0" applyNumberFormat="1" applyFont="1" applyBorder="1"/>
    <xf numFmtId="164" fontId="16" fillId="0" borderId="93" xfId="0" applyNumberFormat="1" applyFont="1" applyBorder="1"/>
    <xf numFmtId="1" fontId="84" fillId="0" borderId="8" xfId="0" applyNumberFormat="1" applyFont="1" applyBorder="1"/>
    <xf numFmtId="8" fontId="108" fillId="0" borderId="119" xfId="0" applyNumberFormat="1" applyFont="1" applyBorder="1" applyAlignment="1">
      <alignment vertical="center" wrapText="1"/>
    </xf>
    <xf numFmtId="8" fontId="108" fillId="0" borderId="115" xfId="0" applyNumberFormat="1" applyFont="1" applyBorder="1" applyAlignment="1">
      <alignment vertical="center" wrapText="1"/>
    </xf>
    <xf numFmtId="0" fontId="158" fillId="34" borderId="0" xfId="0" applyFont="1" applyFill="1"/>
    <xf numFmtId="164" fontId="0" fillId="6" borderId="0" xfId="0" applyNumberFormat="1" applyFill="1"/>
    <xf numFmtId="164" fontId="16" fillId="6" borderId="54" xfId="0" applyNumberFormat="1" applyFont="1" applyFill="1" applyBorder="1" applyProtection="1">
      <protection locked="0"/>
    </xf>
    <xf numFmtId="0" fontId="120" fillId="0" borderId="115" xfId="0" applyFont="1" applyBorder="1" applyAlignment="1" applyProtection="1">
      <alignment horizontal="center"/>
      <protection locked="0"/>
    </xf>
    <xf numFmtId="0" fontId="76" fillId="0" borderId="0" xfId="0" applyFont="1" applyAlignment="1" applyProtection="1">
      <alignment horizontal="center"/>
      <protection locked="0"/>
    </xf>
    <xf numFmtId="0" fontId="51" fillId="0" borderId="0" xfId="0" applyFont="1" applyAlignment="1" applyProtection="1">
      <alignment horizontal="center"/>
      <protection locked="0"/>
    </xf>
    <xf numFmtId="0" fontId="0" fillId="6" borderId="8" xfId="0" applyFill="1" applyBorder="1"/>
    <xf numFmtId="1" fontId="16" fillId="0" borderId="8" xfId="0" applyNumberFormat="1" applyFont="1" applyBorder="1"/>
    <xf numFmtId="0" fontId="16" fillId="0" borderId="91" xfId="0" applyFont="1" applyBorder="1"/>
    <xf numFmtId="1" fontId="134" fillId="0" borderId="8" xfId="0" applyNumberFormat="1" applyFont="1" applyBorder="1"/>
    <xf numFmtId="1" fontId="134" fillId="0" borderId="8" xfId="0" applyNumberFormat="1" applyFont="1" applyBorder="1" applyAlignment="1">
      <alignment horizontal="center"/>
    </xf>
    <xf numFmtId="20" fontId="0" fillId="0" borderId="0" xfId="0" applyNumberFormat="1"/>
    <xf numFmtId="164" fontId="98" fillId="0" borderId="8" xfId="0" applyNumberFormat="1" applyFont="1" applyBorder="1"/>
    <xf numFmtId="171" fontId="84" fillId="26" borderId="8" xfId="0" applyNumberFormat="1" applyFont="1" applyFill="1" applyBorder="1"/>
    <xf numFmtId="171" fontId="98" fillId="26" borderId="8" xfId="0" applyNumberFormat="1" applyFont="1" applyFill="1" applyBorder="1"/>
    <xf numFmtId="171" fontId="3" fillId="26" borderId="8" xfId="0" applyNumberFormat="1" applyFont="1" applyFill="1" applyBorder="1"/>
    <xf numFmtId="171" fontId="84" fillId="6" borderId="8" xfId="0" applyNumberFormat="1" applyFont="1" applyFill="1" applyBorder="1"/>
    <xf numFmtId="171" fontId="3" fillId="6" borderId="8" xfId="0" applyNumberFormat="1" applyFont="1" applyFill="1" applyBorder="1"/>
    <xf numFmtId="171" fontId="84" fillId="0" borderId="8" xfId="0" applyNumberFormat="1" applyFont="1" applyBorder="1"/>
    <xf numFmtId="0" fontId="12" fillId="0" borderId="93" xfId="0" applyFont="1" applyBorder="1" applyAlignment="1">
      <alignment horizontal="center" wrapText="1"/>
    </xf>
    <xf numFmtId="0" fontId="12" fillId="0" borderId="91" xfId="0" applyFont="1" applyBorder="1" applyAlignment="1">
      <alignment horizontal="center" wrapText="1"/>
    </xf>
    <xf numFmtId="0" fontId="11" fillId="34" borderId="6" xfId="1" applyFill="1" applyBorder="1" applyAlignment="1" applyProtection="1">
      <alignment horizontal="center" wrapText="1"/>
      <protection locked="0"/>
    </xf>
    <xf numFmtId="0" fontId="11" fillId="34" borderId="3" xfId="1" applyFill="1" applyBorder="1" applyAlignment="1" applyProtection="1">
      <alignment horizontal="center" wrapText="1"/>
      <protection locked="0"/>
    </xf>
    <xf numFmtId="0" fontId="111" fillId="0" borderId="0" xfId="0" applyFont="1" applyAlignment="1">
      <alignment horizontal="center" vertical="center"/>
    </xf>
    <xf numFmtId="0" fontId="11" fillId="0" borderId="0" xfId="1" applyAlignment="1" applyProtection="1">
      <alignment horizontal="center" vertical="center"/>
      <protection locked="0"/>
    </xf>
    <xf numFmtId="0" fontId="7" fillId="0" borderId="68" xfId="0" applyFont="1" applyBorder="1" applyAlignment="1">
      <alignment horizontal="center"/>
    </xf>
    <xf numFmtId="0" fontId="7" fillId="0" borderId="0" xfId="0" applyFont="1" applyAlignment="1">
      <alignment horizontal="center"/>
    </xf>
    <xf numFmtId="0" fontId="11" fillId="4" borderId="19" xfId="1" applyFill="1" applyBorder="1" applyAlignment="1" applyProtection="1">
      <alignment horizontal="center"/>
      <protection locked="0"/>
    </xf>
    <xf numFmtId="0" fontId="11" fillId="4" borderId="1" xfId="1" applyFill="1" applyBorder="1" applyAlignment="1" applyProtection="1">
      <alignment horizontal="center"/>
      <protection locked="0"/>
    </xf>
    <xf numFmtId="0" fontId="11" fillId="4" borderId="4" xfId="1" applyFill="1" applyBorder="1" applyAlignment="1" applyProtection="1">
      <alignment horizontal="center"/>
      <protection locked="0"/>
    </xf>
    <xf numFmtId="0" fontId="136" fillId="34" borderId="21" xfId="0" applyFont="1" applyFill="1" applyBorder="1" applyAlignment="1">
      <alignment horizontal="center"/>
    </xf>
    <xf numFmtId="0" fontId="136" fillId="34" borderId="2" xfId="0" applyFont="1" applyFill="1" applyBorder="1" applyAlignment="1">
      <alignment horizontal="center"/>
    </xf>
    <xf numFmtId="0" fontId="136" fillId="34" borderId="22" xfId="0" applyFont="1" applyFill="1" applyBorder="1" applyAlignment="1">
      <alignment horizontal="center"/>
    </xf>
    <xf numFmtId="0" fontId="16" fillId="0" borderId="6" xfId="0" applyFont="1" applyBorder="1" applyAlignment="1">
      <alignment horizontal="right"/>
    </xf>
    <xf numFmtId="0" fontId="16" fillId="0" borderId="3" xfId="0" applyFont="1" applyBorder="1" applyAlignment="1">
      <alignment horizontal="right"/>
    </xf>
    <xf numFmtId="167" fontId="5" fillId="4" borderId="6" xfId="0" applyNumberFormat="1" applyFont="1" applyFill="1" applyBorder="1" applyAlignment="1" applyProtection="1">
      <alignment horizontal="center"/>
      <protection locked="0"/>
    </xf>
    <xf numFmtId="167" fontId="5" fillId="4" borderId="7" xfId="0" applyNumberFormat="1" applyFont="1" applyFill="1" applyBorder="1" applyAlignment="1" applyProtection="1">
      <alignment horizontal="center"/>
      <protection locked="0"/>
    </xf>
    <xf numFmtId="8" fontId="137" fillId="34" borderId="18" xfId="0" applyNumberFormat="1" applyFont="1" applyFill="1" applyBorder="1" applyAlignment="1">
      <alignment horizontal="center"/>
    </xf>
    <xf numFmtId="8" fontId="137" fillId="34" borderId="0" xfId="0" applyNumberFormat="1" applyFont="1" applyFill="1" applyAlignment="1">
      <alignment horizontal="center"/>
    </xf>
    <xf numFmtId="8" fontId="137" fillId="34" borderId="12" xfId="0" applyNumberFormat="1" applyFont="1" applyFill="1" applyBorder="1" applyAlignment="1">
      <alignment horizontal="center"/>
    </xf>
    <xf numFmtId="0" fontId="137" fillId="34" borderId="18" xfId="0" applyFont="1" applyFill="1" applyBorder="1" applyAlignment="1">
      <alignment horizontal="center"/>
    </xf>
    <xf numFmtId="0" fontId="137" fillId="34" borderId="0" xfId="0" applyFont="1" applyFill="1" applyAlignment="1">
      <alignment horizontal="center"/>
    </xf>
    <xf numFmtId="0" fontId="137" fillId="34" borderId="12" xfId="0" applyFont="1" applyFill="1" applyBorder="1" applyAlignment="1">
      <alignment horizontal="center"/>
    </xf>
    <xf numFmtId="0" fontId="139" fillId="34" borderId="19" xfId="0" applyFont="1" applyFill="1" applyBorder="1" applyAlignment="1">
      <alignment horizontal="center"/>
    </xf>
    <xf numFmtId="0" fontId="139" fillId="34" borderId="1" xfId="0" applyFont="1" applyFill="1" applyBorder="1" applyAlignment="1">
      <alignment horizontal="center"/>
    </xf>
    <xf numFmtId="0" fontId="139" fillId="34" borderId="4" xfId="0" applyFont="1" applyFill="1" applyBorder="1" applyAlignment="1">
      <alignment horizontal="center"/>
    </xf>
    <xf numFmtId="0" fontId="137" fillId="34" borderId="18" xfId="0" applyFont="1" applyFill="1" applyBorder="1" applyAlignment="1">
      <alignment horizontal="left"/>
    </xf>
    <xf numFmtId="0" fontId="137" fillId="34" borderId="0" xfId="0" applyFont="1" applyFill="1" applyAlignment="1">
      <alignment horizontal="left"/>
    </xf>
    <xf numFmtId="0" fontId="137" fillId="34" borderId="12" xfId="0" applyFont="1" applyFill="1" applyBorder="1" applyAlignment="1">
      <alignment horizontal="left"/>
    </xf>
    <xf numFmtId="0" fontId="119" fillId="0" borderId="0" xfId="0" applyFont="1" applyAlignment="1">
      <alignment horizontal="center" vertical="center" wrapText="1"/>
    </xf>
    <xf numFmtId="0" fontId="119" fillId="0" borderId="115" xfId="0" applyFont="1" applyBorder="1" applyAlignment="1">
      <alignment horizontal="center" vertical="center" wrapText="1"/>
    </xf>
    <xf numFmtId="0" fontId="108" fillId="0" borderId="66" xfId="0" applyFont="1" applyBorder="1" applyAlignment="1">
      <alignment horizontal="left"/>
    </xf>
    <xf numFmtId="14" fontId="108" fillId="4" borderId="0" xfId="0" applyNumberFormat="1" applyFont="1" applyFill="1" applyAlignment="1" applyProtection="1">
      <alignment horizontal="center"/>
      <protection locked="0"/>
    </xf>
    <xf numFmtId="0" fontId="108" fillId="31" borderId="120" xfId="0" applyFont="1" applyFill="1" applyBorder="1" applyAlignment="1">
      <alignment horizontal="center" vertical="center" wrapText="1"/>
    </xf>
    <xf numFmtId="0" fontId="108" fillId="31" borderId="2" xfId="0" applyFont="1" applyFill="1" applyBorder="1" applyAlignment="1">
      <alignment horizontal="center" vertical="center" wrapText="1"/>
    </xf>
    <xf numFmtId="0" fontId="108" fillId="31" borderId="140" xfId="0" applyFont="1" applyFill="1" applyBorder="1" applyAlignment="1">
      <alignment horizontal="center" vertical="center" wrapText="1"/>
    </xf>
    <xf numFmtId="0" fontId="108" fillId="31" borderId="121" xfId="0" applyFont="1" applyFill="1" applyBorder="1" applyAlignment="1">
      <alignment horizontal="center" vertical="center" wrapText="1"/>
    </xf>
    <xf numFmtId="0" fontId="108" fillId="31" borderId="1" xfId="0" applyFont="1" applyFill="1" applyBorder="1" applyAlignment="1">
      <alignment horizontal="center" vertical="center" wrapText="1"/>
    </xf>
    <xf numFmtId="0" fontId="108" fillId="31" borderId="141" xfId="0" applyFont="1" applyFill="1" applyBorder="1" applyAlignment="1">
      <alignment horizontal="center" vertical="center" wrapText="1"/>
    </xf>
    <xf numFmtId="0" fontId="108" fillId="31" borderId="120" xfId="0" applyFont="1" applyFill="1" applyBorder="1" applyAlignment="1">
      <alignment horizontal="center" wrapText="1"/>
    </xf>
    <xf numFmtId="0" fontId="108" fillId="31" borderId="2" xfId="0" applyFont="1" applyFill="1" applyBorder="1" applyAlignment="1">
      <alignment horizontal="center" wrapText="1"/>
    </xf>
    <xf numFmtId="0" fontId="108" fillId="31" borderId="140" xfId="0" applyFont="1" applyFill="1" applyBorder="1" applyAlignment="1">
      <alignment horizontal="center" wrapText="1"/>
    </xf>
    <xf numFmtId="0" fontId="108" fillId="31" borderId="121" xfId="0" applyFont="1" applyFill="1" applyBorder="1" applyAlignment="1">
      <alignment horizontal="center" wrapText="1"/>
    </xf>
    <xf numFmtId="0" fontId="108" fillId="31" borderId="1" xfId="0" applyFont="1" applyFill="1" applyBorder="1" applyAlignment="1">
      <alignment horizontal="center" wrapText="1"/>
    </xf>
    <xf numFmtId="0" fontId="108" fillId="31" borderId="141" xfId="0" applyFont="1" applyFill="1" applyBorder="1" applyAlignment="1">
      <alignment horizontal="center" wrapText="1"/>
    </xf>
    <xf numFmtId="0" fontId="108" fillId="0" borderId="0" xfId="0" applyFont="1" applyAlignment="1">
      <alignment horizontal="left"/>
    </xf>
    <xf numFmtId="0" fontId="108" fillId="0" borderId="114" xfId="0" applyFont="1" applyBorder="1" applyAlignment="1">
      <alignment horizontal="center"/>
    </xf>
    <xf numFmtId="0" fontId="108" fillId="0" borderId="0" xfId="0" applyFont="1" applyAlignment="1">
      <alignment horizontal="center"/>
    </xf>
    <xf numFmtId="0" fontId="120" fillId="0" borderId="0" xfId="0" applyFont="1" applyAlignment="1">
      <alignment horizontal="right"/>
    </xf>
    <xf numFmtId="0" fontId="120" fillId="0" borderId="115" xfId="0" applyFont="1" applyBorder="1" applyAlignment="1">
      <alignment horizontal="right"/>
    </xf>
    <xf numFmtId="0" fontId="108" fillId="31" borderId="97" xfId="0" applyFont="1" applyFill="1" applyBorder="1" applyAlignment="1" applyProtection="1">
      <alignment horizontal="center"/>
      <protection locked="0"/>
    </xf>
    <xf numFmtId="0" fontId="108" fillId="31" borderId="122" xfId="0" applyFont="1" applyFill="1" applyBorder="1" applyAlignment="1" applyProtection="1">
      <alignment horizontal="center"/>
      <protection locked="0"/>
    </xf>
    <xf numFmtId="0" fontId="108" fillId="32" borderId="6" xfId="0" applyFont="1" applyFill="1" applyBorder="1" applyAlignment="1" applyProtection="1">
      <alignment horizontal="center"/>
      <protection locked="0"/>
    </xf>
    <xf numFmtId="0" fontId="108" fillId="32" borderId="123" xfId="0" applyFont="1" applyFill="1" applyBorder="1" applyAlignment="1" applyProtection="1">
      <alignment horizontal="center"/>
      <protection locked="0"/>
    </xf>
    <xf numFmtId="0" fontId="118" fillId="0" borderId="0" xfId="0" applyFont="1" applyAlignment="1">
      <alignment horizontal="center" vertical="center"/>
    </xf>
    <xf numFmtId="0" fontId="118" fillId="0" borderId="115" xfId="0" applyFont="1" applyBorder="1" applyAlignment="1">
      <alignment horizontal="center" vertical="center"/>
    </xf>
    <xf numFmtId="0" fontId="5" fillId="0" borderId="114" xfId="0" applyFont="1" applyBorder="1" applyAlignment="1">
      <alignment horizontal="center"/>
    </xf>
    <xf numFmtId="0" fontId="5" fillId="0" borderId="0" xfId="0" applyFont="1" applyAlignment="1">
      <alignment horizontal="center"/>
    </xf>
    <xf numFmtId="0" fontId="84" fillId="0" borderId="2" xfId="0" applyFont="1" applyBorder="1" applyAlignment="1">
      <alignment horizontal="center" wrapText="1"/>
    </xf>
    <xf numFmtId="0" fontId="84" fillId="0" borderId="140" xfId="0" applyFont="1" applyBorder="1" applyAlignment="1">
      <alignment horizontal="center" wrapText="1"/>
    </xf>
    <xf numFmtId="0" fontId="84" fillId="0" borderId="0" xfId="0" applyFont="1" applyAlignment="1">
      <alignment horizontal="center" wrapText="1"/>
    </xf>
    <xf numFmtId="0" fontId="84" fillId="0" borderId="115" xfId="0" applyFont="1" applyBorder="1" applyAlignment="1">
      <alignment horizontal="center" wrapText="1"/>
    </xf>
    <xf numFmtId="0" fontId="3" fillId="0" borderId="114" xfId="0" applyFont="1" applyBorder="1" applyAlignment="1">
      <alignment horizontal="center"/>
    </xf>
    <xf numFmtId="0" fontId="3" fillId="0" borderId="0" xfId="0" applyFont="1" applyAlignment="1">
      <alignment horizontal="center"/>
    </xf>
    <xf numFmtId="0" fontId="5" fillId="4" borderId="0" xfId="0" applyFont="1" applyFill="1" applyAlignment="1" applyProtection="1">
      <alignment horizontal="center"/>
      <protection locked="0"/>
    </xf>
    <xf numFmtId="0" fontId="5" fillId="4" borderId="12" xfId="0" applyFont="1" applyFill="1" applyBorder="1" applyAlignment="1" applyProtection="1">
      <alignment horizontal="center"/>
      <protection locked="0"/>
    </xf>
    <xf numFmtId="14" fontId="5" fillId="4" borderId="18" xfId="0" applyNumberFormat="1" applyFont="1" applyFill="1" applyBorder="1" applyAlignment="1" applyProtection="1">
      <alignment horizontal="center"/>
      <protection locked="0"/>
    </xf>
    <xf numFmtId="14" fontId="5" fillId="4" borderId="0" xfId="0" applyNumberFormat="1" applyFont="1" applyFill="1" applyAlignment="1" applyProtection="1">
      <alignment horizontal="center"/>
      <protection locked="0"/>
    </xf>
    <xf numFmtId="0" fontId="108" fillId="31" borderId="0" xfId="0" applyFont="1" applyFill="1" applyAlignment="1">
      <alignment horizontal="center" wrapText="1"/>
    </xf>
    <xf numFmtId="0" fontId="5" fillId="4" borderId="115" xfId="0" applyFont="1" applyFill="1" applyBorder="1" applyAlignment="1" applyProtection="1">
      <alignment horizontal="center"/>
      <protection locked="0"/>
    </xf>
    <xf numFmtId="0" fontId="109" fillId="25" borderId="18" xfId="0" applyFont="1" applyFill="1" applyBorder="1" applyAlignment="1">
      <alignment horizontal="left" vertical="top" wrapText="1"/>
    </xf>
    <xf numFmtId="0" fontId="109" fillId="25" borderId="115" xfId="0" applyFont="1" applyFill="1" applyBorder="1" applyAlignment="1">
      <alignment horizontal="left" vertical="top" wrapText="1"/>
    </xf>
    <xf numFmtId="0" fontId="110" fillId="32" borderId="21" xfId="0" applyFont="1" applyFill="1" applyBorder="1" applyAlignment="1" applyProtection="1">
      <alignment horizontal="center" vertical="center" wrapText="1"/>
      <protection locked="0"/>
    </xf>
    <xf numFmtId="0" fontId="110" fillId="32" borderId="140" xfId="0" applyFont="1" applyFill="1" applyBorder="1" applyAlignment="1" applyProtection="1">
      <alignment horizontal="center" vertical="center" wrapText="1"/>
      <protection locked="0"/>
    </xf>
    <xf numFmtId="0" fontId="110" fillId="32" borderId="18" xfId="0" applyFont="1" applyFill="1" applyBorder="1" applyAlignment="1" applyProtection="1">
      <alignment horizontal="center" vertical="center" wrapText="1"/>
      <protection locked="0"/>
    </xf>
    <xf numFmtId="0" fontId="110" fillId="32" borderId="115" xfId="0" applyFont="1" applyFill="1" applyBorder="1" applyAlignment="1" applyProtection="1">
      <alignment horizontal="center" vertical="center" wrapText="1"/>
      <protection locked="0"/>
    </xf>
    <xf numFmtId="0" fontId="110" fillId="32" borderId="19" xfId="0" applyFont="1" applyFill="1" applyBorder="1" applyAlignment="1" applyProtection="1">
      <alignment horizontal="center" vertical="center" wrapText="1"/>
      <protection locked="0"/>
    </xf>
    <xf numFmtId="0" fontId="110" fillId="32" borderId="141" xfId="0" applyFont="1" applyFill="1" applyBorder="1" applyAlignment="1" applyProtection="1">
      <alignment horizontal="center" vertical="center" wrapText="1"/>
      <protection locked="0"/>
    </xf>
    <xf numFmtId="172" fontId="7" fillId="4" borderId="114" xfId="0" applyNumberFormat="1" applyFont="1" applyFill="1" applyBorder="1" applyAlignment="1" applyProtection="1">
      <alignment horizontal="center"/>
      <protection locked="0"/>
    </xf>
    <xf numFmtId="172" fontId="7" fillId="4" borderId="0" xfId="0" applyNumberFormat="1" applyFont="1" applyFill="1" applyAlignment="1" applyProtection="1">
      <alignment horizontal="center"/>
      <protection locked="0"/>
    </xf>
    <xf numFmtId="0" fontId="108" fillId="0" borderId="2" xfId="0" applyFont="1" applyBorder="1" applyAlignment="1">
      <alignment horizontal="center" wrapText="1"/>
    </xf>
    <xf numFmtId="0" fontId="108" fillId="0" borderId="140" xfId="0" applyFont="1" applyBorder="1" applyAlignment="1">
      <alignment horizontal="center" wrapText="1"/>
    </xf>
    <xf numFmtId="0" fontId="108" fillId="0" borderId="0" xfId="0" applyFont="1" applyAlignment="1">
      <alignment horizontal="center" wrapText="1"/>
    </xf>
    <xf numFmtId="0" fontId="108" fillId="0" borderId="115" xfId="0" applyFont="1" applyBorder="1" applyAlignment="1">
      <alignment horizontal="center" wrapText="1"/>
    </xf>
    <xf numFmtId="0" fontId="84" fillId="0" borderId="2" xfId="0" applyFont="1" applyBorder="1" applyAlignment="1" applyProtection="1">
      <alignment horizontal="center" wrapText="1"/>
      <protection hidden="1"/>
    </xf>
    <xf numFmtId="0" fontId="84" fillId="0" borderId="140" xfId="0" applyFont="1" applyBorder="1" applyAlignment="1" applyProtection="1">
      <alignment horizontal="center" wrapText="1"/>
      <protection hidden="1"/>
    </xf>
    <xf numFmtId="0" fontId="84" fillId="0" borderId="0" xfId="0" applyFont="1" applyAlignment="1" applyProtection="1">
      <alignment horizontal="center" wrapText="1"/>
      <protection hidden="1"/>
    </xf>
    <xf numFmtId="0" fontId="84" fillId="0" borderId="115" xfId="0" applyFont="1" applyBorder="1" applyAlignment="1" applyProtection="1">
      <alignment horizontal="center" wrapText="1"/>
      <protection hidden="1"/>
    </xf>
    <xf numFmtId="0" fontId="109" fillId="25" borderId="0" xfId="0" applyFont="1" applyFill="1" applyAlignment="1">
      <alignment horizontal="right"/>
    </xf>
    <xf numFmtId="0" fontId="5" fillId="33" borderId="0" xfId="0" applyFont="1" applyFill="1" applyAlignment="1">
      <alignment horizontal="center"/>
    </xf>
    <xf numFmtId="0" fontId="108" fillId="20" borderId="23" xfId="0" applyFont="1" applyFill="1" applyBorder="1" applyAlignment="1">
      <alignment horizontal="center" vertical="center" wrapText="1"/>
    </xf>
    <xf numFmtId="0" fontId="108" fillId="20" borderId="25" xfId="0" applyFont="1" applyFill="1" applyBorder="1" applyAlignment="1">
      <alignment horizontal="center" vertical="center" wrapText="1"/>
    </xf>
    <xf numFmtId="0" fontId="108" fillId="20" borderId="24" xfId="0" applyFont="1" applyFill="1" applyBorder="1" applyAlignment="1">
      <alignment horizontal="center" vertical="center" wrapText="1"/>
    </xf>
    <xf numFmtId="0" fontId="5" fillId="0" borderId="0" xfId="0" applyFont="1" applyAlignment="1">
      <alignment horizontal="center" vertical="top" wrapText="1"/>
    </xf>
    <xf numFmtId="0" fontId="5" fillId="0" borderId="12" xfId="0" applyFont="1" applyBorder="1" applyAlignment="1">
      <alignment horizontal="center" vertical="top" wrapText="1"/>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0" fontId="5" fillId="4" borderId="114" xfId="0" applyFont="1" applyFill="1" applyBorder="1" applyAlignment="1" applyProtection="1">
      <alignment horizontal="center"/>
      <protection locked="0"/>
    </xf>
    <xf numFmtId="0" fontId="5" fillId="4" borderId="116" xfId="0" applyFont="1" applyFill="1" applyBorder="1" applyAlignment="1" applyProtection="1">
      <alignment horizontal="center"/>
      <protection locked="0"/>
    </xf>
    <xf numFmtId="0" fontId="5" fillId="4" borderId="91" xfId="0" applyFont="1" applyFill="1" applyBorder="1" applyAlignment="1" applyProtection="1">
      <alignment horizontal="center"/>
      <protection locked="0"/>
    </xf>
    <xf numFmtId="0" fontId="5" fillId="4" borderId="124" xfId="0" applyFont="1" applyFill="1" applyBorder="1" applyAlignment="1" applyProtection="1">
      <alignment horizontal="center"/>
      <protection locked="0"/>
    </xf>
    <xf numFmtId="0" fontId="5" fillId="4" borderId="117" xfId="0" applyFont="1" applyFill="1" applyBorder="1" applyAlignment="1" applyProtection="1">
      <alignment horizontal="center"/>
      <protection locked="0"/>
    </xf>
    <xf numFmtId="0" fontId="119" fillId="0" borderId="21" xfId="0" applyFont="1" applyBorder="1" applyAlignment="1" applyProtection="1">
      <alignment horizontal="center" vertical="top" wrapText="1"/>
      <protection hidden="1"/>
    </xf>
    <xf numFmtId="0" fontId="119" fillId="0" borderId="140" xfId="0" applyFont="1" applyBorder="1" applyAlignment="1" applyProtection="1">
      <alignment horizontal="center" vertical="top" wrapText="1"/>
      <protection hidden="1"/>
    </xf>
    <xf numFmtId="0" fontId="119" fillId="0" borderId="18" xfId="0" applyFont="1" applyBorder="1" applyAlignment="1" applyProtection="1">
      <alignment horizontal="center" vertical="top" wrapText="1"/>
      <protection hidden="1"/>
    </xf>
    <xf numFmtId="0" fontId="119" fillId="0" borderId="115" xfId="0" applyFont="1" applyBorder="1" applyAlignment="1" applyProtection="1">
      <alignment horizontal="center" vertical="top" wrapText="1"/>
      <protection hidden="1"/>
    </xf>
    <xf numFmtId="0" fontId="119" fillId="0" borderId="19" xfId="0" applyFont="1" applyBorder="1" applyAlignment="1" applyProtection="1">
      <alignment horizontal="center" vertical="top" wrapText="1"/>
      <protection hidden="1"/>
    </xf>
    <xf numFmtId="0" fontId="119" fillId="0" borderId="141" xfId="0" applyFont="1" applyBorder="1" applyAlignment="1" applyProtection="1">
      <alignment horizontal="center" vertical="top" wrapText="1"/>
      <protection hidden="1"/>
    </xf>
    <xf numFmtId="0" fontId="7" fillId="4" borderId="116" xfId="0" applyFont="1" applyFill="1" applyBorder="1" applyAlignment="1" applyProtection="1">
      <alignment horizontal="center"/>
      <protection locked="0"/>
    </xf>
    <xf numFmtId="0" fontId="7" fillId="4" borderId="91" xfId="0" applyFont="1" applyFill="1" applyBorder="1" applyAlignment="1" applyProtection="1">
      <alignment horizontal="center"/>
      <protection locked="0"/>
    </xf>
    <xf numFmtId="0" fontId="5" fillId="0" borderId="66" xfId="0" applyFont="1" applyBorder="1" applyAlignment="1">
      <alignment horizontal="center" vertical="top" wrapText="1"/>
    </xf>
    <xf numFmtId="0" fontId="5" fillId="0" borderId="67" xfId="0" applyFont="1" applyBorder="1" applyAlignment="1">
      <alignment horizontal="center" vertical="top" wrapText="1"/>
    </xf>
    <xf numFmtId="0" fontId="5" fillId="0" borderId="69" xfId="0" applyFont="1" applyBorder="1" applyAlignment="1">
      <alignment horizontal="center" vertical="top" wrapText="1"/>
    </xf>
    <xf numFmtId="0" fontId="5" fillId="0" borderId="91" xfId="0" applyFont="1" applyBorder="1" applyAlignment="1">
      <alignment horizontal="center" vertical="top" wrapText="1"/>
    </xf>
    <xf numFmtId="0" fontId="5" fillId="0" borderId="94" xfId="0" applyFont="1" applyBorder="1" applyAlignment="1">
      <alignment horizontal="center" vertical="top" wrapText="1"/>
    </xf>
    <xf numFmtId="0" fontId="11" fillId="22" borderId="28" xfId="1" applyFill="1" applyBorder="1" applyAlignment="1" applyProtection="1">
      <alignment horizontal="center" vertical="center"/>
      <protection locked="0"/>
    </xf>
    <xf numFmtId="0" fontId="11" fillId="22" borderId="30" xfId="1" applyFill="1" applyBorder="1" applyAlignment="1" applyProtection="1">
      <alignment horizontal="center" vertical="center"/>
      <protection locked="0"/>
    </xf>
    <xf numFmtId="0" fontId="11" fillId="22" borderId="44" xfId="1" applyFill="1" applyBorder="1" applyAlignment="1" applyProtection="1">
      <alignment horizontal="center" vertical="center"/>
      <protection locked="0"/>
    </xf>
    <xf numFmtId="0" fontId="11" fillId="22" borderId="29" xfId="1" applyFill="1" applyBorder="1" applyAlignment="1" applyProtection="1">
      <alignment horizontal="center" vertical="center"/>
      <protection locked="0"/>
    </xf>
    <xf numFmtId="0" fontId="11" fillId="22" borderId="40" xfId="1" applyFill="1" applyBorder="1" applyAlignment="1" applyProtection="1">
      <alignment horizontal="center" vertical="center"/>
      <protection locked="0"/>
    </xf>
    <xf numFmtId="0" fontId="11" fillId="22" borderId="45" xfId="1" applyFill="1" applyBorder="1" applyAlignment="1" applyProtection="1">
      <alignment horizontal="center" vertical="center"/>
      <protection locked="0"/>
    </xf>
    <xf numFmtId="0" fontId="16" fillId="0" borderId="0" xfId="0" applyFont="1" applyAlignment="1">
      <alignment horizontal="center"/>
    </xf>
    <xf numFmtId="0" fontId="3" fillId="0" borderId="21" xfId="0" applyFont="1" applyBorder="1" applyAlignment="1">
      <alignment horizontal="left" vertical="top" wrapText="1"/>
    </xf>
    <xf numFmtId="0" fontId="3" fillId="0" borderId="2" xfId="0" applyFont="1" applyBorder="1" applyAlignment="1">
      <alignment horizontal="left" vertical="top" wrapText="1"/>
    </xf>
    <xf numFmtId="0" fontId="3" fillId="0" borderId="22" xfId="0" applyFont="1" applyBorder="1" applyAlignment="1">
      <alignment horizontal="left" vertical="top" wrapText="1"/>
    </xf>
    <xf numFmtId="0" fontId="3" fillId="0" borderId="18"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3" fillId="0" borderId="19"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center"/>
    </xf>
    <xf numFmtId="0" fontId="7" fillId="0" borderId="84" xfId="0" applyFont="1" applyBorder="1" applyAlignment="1">
      <alignment horizontal="center" wrapText="1"/>
    </xf>
    <xf numFmtId="0" fontId="7" fillId="0" borderId="96" xfId="0" applyFont="1" applyBorder="1" applyAlignment="1">
      <alignment horizontal="center" wrapText="1"/>
    </xf>
    <xf numFmtId="0" fontId="7" fillId="0" borderId="85" xfId="0" applyFont="1" applyBorder="1" applyAlignment="1">
      <alignment horizontal="center" wrapText="1"/>
    </xf>
    <xf numFmtId="0" fontId="3" fillId="0" borderId="8" xfId="0" applyFont="1" applyBorder="1" applyAlignment="1">
      <alignment horizontal="left"/>
    </xf>
    <xf numFmtId="0" fontId="7" fillId="0" borderId="84" xfId="0" applyFont="1" applyBorder="1" applyAlignment="1">
      <alignment horizontal="center" vertical="center" wrapText="1"/>
    </xf>
    <xf numFmtId="0" fontId="7" fillId="0" borderId="96" xfId="0" applyFont="1" applyBorder="1" applyAlignment="1">
      <alignment horizontal="center" vertical="center" wrapText="1"/>
    </xf>
    <xf numFmtId="0" fontId="7" fillId="0" borderId="85" xfId="0" applyFont="1" applyBorder="1" applyAlignment="1">
      <alignment horizontal="center" vertical="center" wrapText="1"/>
    </xf>
    <xf numFmtId="0" fontId="3" fillId="0" borderId="24" xfId="0" applyFont="1" applyBorder="1" applyAlignment="1">
      <alignment horizontal="left"/>
    </xf>
    <xf numFmtId="0" fontId="3" fillId="0" borderId="0" xfId="0" applyFont="1" applyAlignment="1">
      <alignment horizontal="left" vertical="center" wrapText="1"/>
    </xf>
    <xf numFmtId="0" fontId="3" fillId="0" borderId="0" xfId="0" applyFont="1" applyAlignment="1">
      <alignment horizontal="left" wrapText="1"/>
    </xf>
    <xf numFmtId="0" fontId="7" fillId="0" borderId="0" xfId="0" applyFont="1" applyAlignment="1">
      <alignment horizontal="left" vertical="center"/>
    </xf>
    <xf numFmtId="0" fontId="16" fillId="0" borderId="6" xfId="0" applyFont="1" applyBorder="1" applyAlignment="1">
      <alignment horizontal="center"/>
    </xf>
    <xf numFmtId="0" fontId="16" fillId="0" borderId="3" xfId="0" applyFont="1" applyBorder="1" applyAlignment="1">
      <alignment horizontal="center"/>
    </xf>
    <xf numFmtId="0" fontId="16" fillId="0" borderId="7" xfId="0" applyFont="1" applyBorder="1" applyAlignment="1">
      <alignment horizontal="center"/>
    </xf>
    <xf numFmtId="0" fontId="7" fillId="0" borderId="1" xfId="0" applyFont="1" applyBorder="1" applyAlignment="1">
      <alignment horizontal="center" vertical="center"/>
    </xf>
    <xf numFmtId="0" fontId="16" fillId="0" borderId="84" xfId="0" applyFont="1" applyBorder="1" applyAlignment="1">
      <alignment horizontal="center"/>
    </xf>
    <xf numFmtId="0" fontId="16" fillId="0" borderId="96" xfId="0" applyFont="1" applyBorder="1" applyAlignment="1">
      <alignment horizontal="center"/>
    </xf>
    <xf numFmtId="0" fontId="16" fillId="0" borderId="85" xfId="0" applyFont="1" applyBorder="1" applyAlignment="1">
      <alignment horizontal="center"/>
    </xf>
    <xf numFmtId="0" fontId="3" fillId="0" borderId="90" xfId="0" applyFont="1" applyBorder="1" applyAlignment="1">
      <alignment horizontal="center" vertical="center"/>
    </xf>
    <xf numFmtId="0" fontId="3" fillId="0" borderId="67" xfId="0" applyFont="1" applyBorder="1" applyAlignment="1">
      <alignment horizontal="center"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3" fillId="0" borderId="84" xfId="0" applyFont="1" applyBorder="1" applyAlignment="1">
      <alignment horizontal="center"/>
    </xf>
    <xf numFmtId="0" fontId="3" fillId="0" borderId="96" xfId="0" applyFont="1" applyBorder="1" applyAlignment="1">
      <alignment horizontal="center"/>
    </xf>
    <xf numFmtId="0" fontId="3" fillId="0" borderId="85" xfId="0" applyFont="1" applyBorder="1" applyAlignment="1">
      <alignment horizont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93" xfId="0" applyBorder="1" applyAlignment="1">
      <alignment horizontal="center" vertical="center"/>
    </xf>
    <xf numFmtId="0" fontId="0" fillId="0" borderId="91" xfId="0" applyBorder="1" applyAlignment="1">
      <alignment horizontal="center" vertical="center"/>
    </xf>
    <xf numFmtId="0" fontId="0" fillId="0" borderId="94" xfId="0" applyBorder="1" applyAlignment="1">
      <alignment horizontal="center" vertical="center"/>
    </xf>
    <xf numFmtId="0" fontId="3" fillId="0" borderId="90" xfId="0" applyFont="1" applyBorder="1" applyAlignment="1">
      <alignment horizontal="center" wrapText="1"/>
    </xf>
    <xf numFmtId="0" fontId="3" fillId="0" borderId="67" xfId="0" applyFont="1" applyBorder="1" applyAlignment="1">
      <alignment horizontal="center" wrapText="1"/>
    </xf>
    <xf numFmtId="0" fontId="3" fillId="0" borderId="93" xfId="0" applyFont="1" applyBorder="1" applyAlignment="1">
      <alignment horizontal="center" wrapText="1"/>
    </xf>
    <xf numFmtId="0" fontId="3" fillId="0" borderId="94" xfId="0" applyFont="1" applyBorder="1" applyAlignment="1">
      <alignment horizontal="center" wrapText="1"/>
    </xf>
    <xf numFmtId="0" fontId="3" fillId="0" borderId="90" xfId="0" applyFont="1" applyBorder="1" applyAlignment="1">
      <alignment horizontal="center"/>
    </xf>
    <xf numFmtId="0" fontId="0" fillId="0" borderId="66" xfId="0" applyBorder="1" applyAlignment="1">
      <alignment horizontal="center"/>
    </xf>
    <xf numFmtId="0" fontId="0" fillId="0" borderId="67" xfId="0" applyBorder="1" applyAlignment="1">
      <alignment horizontal="center"/>
    </xf>
    <xf numFmtId="0" fontId="0" fillId="0" borderId="93" xfId="0" applyBorder="1" applyAlignment="1">
      <alignment horizontal="center"/>
    </xf>
    <xf numFmtId="0" fontId="0" fillId="0" borderId="91" xfId="0" applyBorder="1" applyAlignment="1">
      <alignment horizontal="center"/>
    </xf>
    <xf numFmtId="0" fontId="0" fillId="0" borderId="94" xfId="0" applyBorder="1" applyAlignment="1">
      <alignment horizontal="center"/>
    </xf>
    <xf numFmtId="0" fontId="3" fillId="0" borderId="66" xfId="0" applyFont="1" applyBorder="1" applyAlignment="1">
      <alignment horizontal="center" vertical="center"/>
    </xf>
    <xf numFmtId="0" fontId="3" fillId="0" borderId="91" xfId="0" applyFont="1" applyBorder="1" applyAlignment="1">
      <alignment horizontal="center" vertical="center"/>
    </xf>
    <xf numFmtId="0" fontId="0" fillId="0" borderId="96" xfId="0" applyBorder="1" applyAlignment="1">
      <alignment horizontal="center"/>
    </xf>
    <xf numFmtId="0" fontId="0" fillId="0" borderId="85" xfId="0" applyBorder="1" applyAlignment="1">
      <alignment horizontal="center"/>
    </xf>
    <xf numFmtId="0" fontId="3" fillId="0" borderId="90"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0" xfId="0" applyFont="1" applyAlignment="1">
      <alignment horizontal="center" vertical="center" wrapText="1"/>
    </xf>
    <xf numFmtId="0" fontId="3" fillId="0" borderId="69" xfId="0" applyFont="1" applyBorder="1" applyAlignment="1">
      <alignment horizontal="center" vertical="center" wrapText="1"/>
    </xf>
    <xf numFmtId="0" fontId="3" fillId="0" borderId="93"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94" xfId="0" applyFont="1" applyBorder="1" applyAlignment="1">
      <alignment horizontal="center" vertical="center" wrapText="1"/>
    </xf>
    <xf numFmtId="0" fontId="0" fillId="0" borderId="68" xfId="0" applyBorder="1" applyAlignment="1">
      <alignment horizontal="center" vertical="center"/>
    </xf>
    <xf numFmtId="0" fontId="0" fillId="0" borderId="0" xfId="0" applyAlignment="1">
      <alignment horizontal="center" vertical="center"/>
    </xf>
    <xf numFmtId="0" fontId="0" fillId="0" borderId="69" xfId="0" applyBorder="1" applyAlignment="1">
      <alignment horizontal="center" vertical="center"/>
    </xf>
    <xf numFmtId="0" fontId="0" fillId="0" borderId="66" xfId="0" applyBorder="1" applyAlignment="1">
      <alignment horizontal="center" wrapText="1"/>
    </xf>
    <xf numFmtId="0" fontId="0" fillId="0" borderId="67" xfId="0" applyBorder="1" applyAlignment="1">
      <alignment horizontal="center" wrapText="1"/>
    </xf>
    <xf numFmtId="0" fontId="0" fillId="0" borderId="68" xfId="0" applyBorder="1" applyAlignment="1">
      <alignment horizontal="center" wrapText="1"/>
    </xf>
    <xf numFmtId="0" fontId="0" fillId="0" borderId="0" xfId="0" applyAlignment="1">
      <alignment horizontal="center" wrapText="1"/>
    </xf>
    <xf numFmtId="0" fontId="0" fillId="0" borderId="69" xfId="0" applyBorder="1" applyAlignment="1">
      <alignment horizontal="center" wrapText="1"/>
    </xf>
    <xf numFmtId="0" fontId="0" fillId="0" borderId="93" xfId="0" applyBorder="1" applyAlignment="1">
      <alignment horizontal="center" wrapText="1"/>
    </xf>
    <xf numFmtId="0" fontId="0" fillId="0" borderId="91" xfId="0" applyBorder="1" applyAlignment="1">
      <alignment horizontal="center" wrapText="1"/>
    </xf>
    <xf numFmtId="0" fontId="0" fillId="0" borderId="94" xfId="0" applyBorder="1" applyAlignment="1">
      <alignment horizontal="center" wrapText="1"/>
    </xf>
    <xf numFmtId="0" fontId="0" fillId="0" borderId="66"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0" xfId="0" applyAlignment="1">
      <alignment horizontal="center" vertical="center" wrapText="1"/>
    </xf>
    <xf numFmtId="0" fontId="0" fillId="0" borderId="69" xfId="0" applyBorder="1" applyAlignment="1">
      <alignment horizontal="center" vertical="center" wrapText="1"/>
    </xf>
    <xf numFmtId="0" fontId="0" fillId="0" borderId="93" xfId="0" applyBorder="1" applyAlignment="1">
      <alignment horizontal="center" vertical="center" wrapText="1"/>
    </xf>
    <xf numFmtId="0" fontId="0" fillId="0" borderId="91" xfId="0" applyBorder="1" applyAlignment="1">
      <alignment horizontal="center" vertical="center" wrapText="1"/>
    </xf>
    <xf numFmtId="0" fontId="0" fillId="0" borderId="94" xfId="0" applyBorder="1" applyAlignment="1">
      <alignment horizontal="center" vertical="center" wrapText="1"/>
    </xf>
    <xf numFmtId="0" fontId="16" fillId="2" borderId="8" xfId="0" applyFont="1" applyFill="1" applyBorder="1" applyAlignment="1">
      <alignment horizontal="center"/>
    </xf>
    <xf numFmtId="0" fontId="3" fillId="24" borderId="6" xfId="0" applyFont="1" applyFill="1" applyBorder="1" applyAlignment="1">
      <alignment horizontal="center"/>
    </xf>
    <xf numFmtId="0" fontId="3" fillId="24" borderId="3" xfId="0" applyFont="1" applyFill="1" applyBorder="1" applyAlignment="1">
      <alignment horizontal="center"/>
    </xf>
    <xf numFmtId="0" fontId="3" fillId="24" borderId="7" xfId="0" applyFont="1" applyFill="1" applyBorder="1" applyAlignment="1">
      <alignment horizontal="center"/>
    </xf>
    <xf numFmtId="0" fontId="16" fillId="5" borderId="6" xfId="0" applyFont="1" applyFill="1" applyBorder="1" applyAlignment="1">
      <alignment horizontal="center" vertical="center"/>
    </xf>
    <xf numFmtId="0" fontId="16" fillId="5" borderId="7" xfId="0" applyFont="1" applyFill="1" applyBorder="1" applyAlignment="1">
      <alignment horizontal="center" vertical="center"/>
    </xf>
    <xf numFmtId="2" fontId="84" fillId="0" borderId="6" xfId="0" applyNumberFormat="1" applyFont="1" applyBorder="1" applyAlignment="1">
      <alignment horizontal="center"/>
    </xf>
    <xf numFmtId="2" fontId="84" fillId="0" borderId="7" xfId="0" applyNumberFormat="1" applyFont="1" applyBorder="1" applyAlignment="1">
      <alignment horizontal="center"/>
    </xf>
    <xf numFmtId="0" fontId="0" fillId="24" borderId="3" xfId="0" applyFill="1" applyBorder="1" applyAlignment="1">
      <alignment horizontal="center"/>
    </xf>
    <xf numFmtId="0" fontId="0" fillId="24" borderId="7" xfId="0" applyFill="1" applyBorder="1" applyAlignment="1">
      <alignment horizontal="center"/>
    </xf>
    <xf numFmtId="0" fontId="0" fillId="0" borderId="18" xfId="0" applyBorder="1" applyAlignment="1">
      <alignment horizontal="center"/>
    </xf>
    <xf numFmtId="0" fontId="0" fillId="0" borderId="0" xfId="0" applyAlignment="1">
      <alignment horizontal="center"/>
    </xf>
    <xf numFmtId="0" fontId="16" fillId="0" borderId="90" xfId="0" applyFont="1" applyBorder="1" applyAlignment="1">
      <alignment horizontal="right"/>
    </xf>
    <xf numFmtId="0" fontId="16" fillId="0" borderId="66" xfId="0" applyFont="1" applyBorder="1" applyAlignment="1">
      <alignment horizontal="right"/>
    </xf>
    <xf numFmtId="0" fontId="16" fillId="0" borderId="125" xfId="0" applyFont="1" applyBorder="1" applyAlignment="1">
      <alignment horizontal="right"/>
    </xf>
    <xf numFmtId="0" fontId="0" fillId="4" borderId="1" xfId="0" applyFill="1" applyBorder="1" applyAlignment="1">
      <alignment horizontal="center"/>
    </xf>
    <xf numFmtId="0" fontId="0" fillId="26" borderId="92" xfId="0" applyFill="1" applyBorder="1" applyAlignment="1">
      <alignment horizontal="center" vertical="center" wrapText="1"/>
    </xf>
    <xf numFmtId="0" fontId="6" fillId="31" borderId="21" xfId="0" applyFont="1" applyFill="1" applyBorder="1" applyAlignment="1" applyProtection="1">
      <alignment horizontal="center" vertical="center" wrapText="1"/>
      <protection hidden="1"/>
    </xf>
    <xf numFmtId="0" fontId="6" fillId="31" borderId="2" xfId="0" applyFont="1" applyFill="1" applyBorder="1" applyAlignment="1" applyProtection="1">
      <alignment horizontal="center" vertical="center" wrapText="1"/>
      <protection hidden="1"/>
    </xf>
    <xf numFmtId="0" fontId="6" fillId="31" borderId="22" xfId="0" applyFont="1" applyFill="1" applyBorder="1" applyAlignment="1" applyProtection="1">
      <alignment horizontal="center" vertical="center" wrapText="1"/>
      <protection hidden="1"/>
    </xf>
    <xf numFmtId="8" fontId="6" fillId="31" borderId="18" xfId="0" applyNumberFormat="1" applyFont="1" applyFill="1" applyBorder="1" applyAlignment="1" applyProtection="1">
      <alignment horizontal="center" vertical="center" wrapText="1"/>
      <protection hidden="1"/>
    </xf>
    <xf numFmtId="0" fontId="6" fillId="31" borderId="0" xfId="0" applyFont="1" applyFill="1" applyAlignment="1" applyProtection="1">
      <alignment horizontal="center" vertical="center" wrapText="1"/>
      <protection hidden="1"/>
    </xf>
    <xf numFmtId="0" fontId="6" fillId="31" borderId="12" xfId="0" applyFont="1" applyFill="1" applyBorder="1" applyAlignment="1" applyProtection="1">
      <alignment horizontal="center" vertical="center" wrapText="1"/>
      <protection hidden="1"/>
    </xf>
    <xf numFmtId="0" fontId="44" fillId="30" borderId="0" xfId="0" applyFont="1" applyFill="1" applyAlignment="1">
      <alignment horizontal="right"/>
    </xf>
    <xf numFmtId="0" fontId="103" fillId="0" borderId="18" xfId="0" applyFont="1" applyBorder="1" applyAlignment="1" applyProtection="1">
      <alignment horizontal="left" wrapText="1"/>
      <protection hidden="1"/>
    </xf>
    <xf numFmtId="0" fontId="103" fillId="0" borderId="0" xfId="0" applyFont="1" applyAlignment="1" applyProtection="1">
      <alignment horizontal="left" wrapText="1"/>
      <protection hidden="1"/>
    </xf>
    <xf numFmtId="0" fontId="103" fillId="0" borderId="12" xfId="0" applyFont="1" applyBorder="1" applyAlignment="1" applyProtection="1">
      <alignment horizontal="left" wrapText="1"/>
      <protection hidden="1"/>
    </xf>
    <xf numFmtId="0" fontId="16" fillId="4" borderId="66" xfId="0" applyFont="1" applyFill="1" applyBorder="1" applyAlignment="1">
      <alignment horizontal="center"/>
    </xf>
    <xf numFmtId="167" fontId="16" fillId="0" borderId="1" xfId="0" applyNumberFormat="1"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164" fontId="44" fillId="30" borderId="8" xfId="0" applyNumberFormat="1" applyFont="1" applyFill="1" applyBorder="1" applyAlignment="1">
      <alignment horizontal="center"/>
    </xf>
    <xf numFmtId="164" fontId="44" fillId="30" borderId="101" xfId="0" applyNumberFormat="1" applyFont="1" applyFill="1" applyBorder="1" applyAlignment="1">
      <alignment horizontal="center"/>
    </xf>
    <xf numFmtId="164" fontId="16" fillId="4" borderId="8" xfId="0" applyNumberFormat="1" applyFont="1" applyFill="1" applyBorder="1" applyAlignment="1">
      <alignment horizontal="center"/>
    </xf>
    <xf numFmtId="164" fontId="16" fillId="4" borderId="101" xfId="0" applyNumberFormat="1" applyFont="1" applyFill="1" applyBorder="1" applyAlignment="1">
      <alignment horizontal="center"/>
    </xf>
    <xf numFmtId="0" fontId="44" fillId="0" borderId="0" xfId="0" applyFont="1" applyAlignment="1">
      <alignment horizontal="right"/>
    </xf>
    <xf numFmtId="0" fontId="16" fillId="4" borderId="90" xfId="0" applyFont="1" applyFill="1" applyBorder="1" applyAlignment="1">
      <alignment horizontal="left"/>
    </xf>
    <xf numFmtId="0" fontId="16" fillId="4" borderId="66" xfId="0" applyFont="1" applyFill="1" applyBorder="1" applyAlignment="1">
      <alignment horizontal="left"/>
    </xf>
    <xf numFmtId="0" fontId="16" fillId="0" borderId="12" xfId="0" applyFont="1" applyBorder="1" applyAlignment="1">
      <alignment horizontal="center"/>
    </xf>
    <xf numFmtId="164" fontId="159" fillId="4" borderId="6" xfId="0" applyNumberFormat="1" applyFont="1" applyFill="1" applyBorder="1" applyAlignment="1">
      <alignment horizontal="center"/>
    </xf>
    <xf numFmtId="164" fontId="159" fillId="4" borderId="95" xfId="0" applyNumberFormat="1" applyFont="1" applyFill="1" applyBorder="1" applyAlignment="1">
      <alignment horizontal="center"/>
    </xf>
    <xf numFmtId="164" fontId="16" fillId="0" borderId="6" xfId="0" applyNumberFormat="1" applyFont="1" applyBorder="1" applyAlignment="1">
      <alignment horizontal="center"/>
    </xf>
    <xf numFmtId="0" fontId="44" fillId="0" borderId="96" xfId="0" applyFont="1" applyBorder="1" applyAlignment="1">
      <alignment horizontal="center"/>
    </xf>
    <xf numFmtId="0" fontId="0" fillId="0" borderId="98" xfId="0" applyBorder="1" applyAlignment="1">
      <alignment horizontal="center" vertical="center"/>
    </xf>
    <xf numFmtId="0" fontId="0" fillId="0" borderId="131" xfId="0" applyBorder="1" applyAlignment="1">
      <alignment horizontal="center" vertical="center"/>
    </xf>
    <xf numFmtId="0" fontId="0" fillId="0" borderId="99" xfId="0" applyBorder="1" applyAlignment="1">
      <alignment horizontal="center" vertical="center"/>
    </xf>
    <xf numFmtId="0" fontId="3" fillId="0" borderId="98" xfId="0" applyFont="1" applyBorder="1" applyAlignment="1">
      <alignment horizontal="center" vertical="center"/>
    </xf>
    <xf numFmtId="0" fontId="3" fillId="0" borderId="131" xfId="0" applyFont="1" applyBorder="1" applyAlignment="1">
      <alignment horizontal="center" vertical="center"/>
    </xf>
    <xf numFmtId="0" fontId="3" fillId="0" borderId="132" xfId="0" applyFont="1" applyBorder="1" applyAlignment="1">
      <alignment horizontal="center" vertical="center"/>
    </xf>
    <xf numFmtId="0" fontId="44" fillId="0" borderId="23" xfId="0" applyFont="1" applyBorder="1" applyAlignment="1">
      <alignment horizontal="center" vertical="center"/>
    </xf>
    <xf numFmtId="0" fontId="44" fillId="0" borderId="25" xfId="0" applyFont="1" applyBorder="1" applyAlignment="1">
      <alignment horizontal="center" vertical="center"/>
    </xf>
    <xf numFmtId="0" fontId="44" fillId="0" borderId="24" xfId="0" applyFont="1" applyBorder="1" applyAlignment="1">
      <alignment horizontal="center" vertical="center"/>
    </xf>
    <xf numFmtId="0" fontId="44" fillId="30" borderId="2" xfId="0" applyFont="1" applyFill="1" applyBorder="1" applyAlignment="1">
      <alignment horizontal="center" vertical="center"/>
    </xf>
    <xf numFmtId="0" fontId="44" fillId="30" borderId="22" xfId="0" applyFont="1" applyFill="1" applyBorder="1" applyAlignment="1">
      <alignment horizontal="center" vertical="center"/>
    </xf>
    <xf numFmtId="0" fontId="44" fillId="30" borderId="0" xfId="0" applyFont="1" applyFill="1" applyAlignment="1">
      <alignment horizontal="center" vertical="center"/>
    </xf>
    <xf numFmtId="0" fontId="44" fillId="30" borderId="12" xfId="0" applyFont="1" applyFill="1" applyBorder="1" applyAlignment="1">
      <alignment horizontal="center" vertical="center"/>
    </xf>
    <xf numFmtId="14" fontId="0" fillId="0" borderId="66" xfId="0" applyNumberFormat="1" applyBorder="1" applyAlignment="1">
      <alignment horizontal="center"/>
    </xf>
    <xf numFmtId="14" fontId="0" fillId="0" borderId="0" xfId="0" applyNumberFormat="1" applyAlignment="1">
      <alignment horizontal="center"/>
    </xf>
    <xf numFmtId="0" fontId="111" fillId="4" borderId="6" xfId="0" applyFont="1" applyFill="1" applyBorder="1" applyAlignment="1">
      <alignment horizontal="right"/>
    </xf>
    <xf numFmtId="0" fontId="111" fillId="4" borderId="3" xfId="0" applyFont="1" applyFill="1" applyBorder="1" applyAlignment="1">
      <alignment horizontal="right"/>
    </xf>
    <xf numFmtId="0" fontId="111" fillId="4" borderId="7" xfId="0" applyFont="1" applyFill="1" applyBorder="1" applyAlignment="1">
      <alignment horizontal="right"/>
    </xf>
    <xf numFmtId="0" fontId="0" fillId="0" borderId="66" xfId="0" applyBorder="1" applyAlignment="1">
      <alignment horizontal="left"/>
    </xf>
    <xf numFmtId="0" fontId="142" fillId="0" borderId="68" xfId="0" applyFont="1" applyBorder="1" applyAlignment="1">
      <alignment horizontal="left"/>
    </xf>
    <xf numFmtId="0" fontId="142" fillId="0" borderId="0" xfId="0" applyFont="1" applyAlignment="1">
      <alignment horizontal="left"/>
    </xf>
    <xf numFmtId="0" fontId="142" fillId="0" borderId="12" xfId="0" applyFont="1" applyBorder="1" applyAlignment="1">
      <alignment horizontal="left"/>
    </xf>
    <xf numFmtId="0" fontId="6" fillId="0" borderId="66" xfId="0" applyFont="1" applyBorder="1" applyAlignment="1" applyProtection="1">
      <alignment horizontal="center"/>
      <protection hidden="1"/>
    </xf>
    <xf numFmtId="0" fontId="0" fillId="0" borderId="12" xfId="0" applyBorder="1" applyAlignment="1">
      <alignment horizontal="center"/>
    </xf>
    <xf numFmtId="0" fontId="44" fillId="0" borderId="98" xfId="0" applyFont="1" applyBorder="1" applyAlignment="1">
      <alignment horizontal="center" vertical="center"/>
    </xf>
    <xf numFmtId="0" fontId="44" fillId="0" borderId="131" xfId="0" applyFont="1" applyBorder="1" applyAlignment="1">
      <alignment horizontal="center" vertical="center"/>
    </xf>
    <xf numFmtId="0" fontId="44" fillId="0" borderId="99" xfId="0" applyFont="1" applyBorder="1" applyAlignment="1">
      <alignment horizontal="center" vertical="center"/>
    </xf>
    <xf numFmtId="0" fontId="22" fillId="26" borderId="102" xfId="0" applyFont="1" applyFill="1" applyBorder="1" applyAlignment="1">
      <alignment horizontal="center"/>
    </xf>
    <xf numFmtId="0" fontId="22" fillId="26" borderId="107" xfId="0" applyFont="1" applyFill="1" applyBorder="1" applyAlignment="1">
      <alignment horizontal="center"/>
    </xf>
    <xf numFmtId="0" fontId="0" fillId="26" borderId="96" xfId="0" applyFill="1" applyBorder="1" applyAlignment="1">
      <alignment horizontal="center"/>
    </xf>
    <xf numFmtId="14" fontId="0" fillId="0" borderId="8" xfId="0" applyNumberFormat="1" applyBorder="1" applyAlignment="1">
      <alignment horizontal="center"/>
    </xf>
    <xf numFmtId="0" fontId="0" fillId="0" borderId="8" xfId="0" applyBorder="1" applyAlignment="1">
      <alignment horizontal="center"/>
    </xf>
    <xf numFmtId="0" fontId="154" fillId="0" borderId="68" xfId="0" applyFont="1" applyBorder="1" applyAlignment="1">
      <alignment horizontal="left" wrapText="1"/>
    </xf>
    <xf numFmtId="0" fontId="154" fillId="0" borderId="0" xfId="0" applyFont="1" applyAlignment="1">
      <alignment horizontal="left" wrapText="1"/>
    </xf>
    <xf numFmtId="0" fontId="154" fillId="0" borderId="69" xfId="0" applyFont="1" applyBorder="1" applyAlignment="1">
      <alignment horizontal="left" wrapText="1"/>
    </xf>
    <xf numFmtId="0" fontId="44" fillId="0" borderId="8" xfId="0" applyFont="1" applyBorder="1" applyAlignment="1">
      <alignment horizontal="center"/>
    </xf>
    <xf numFmtId="0" fontId="0" fillId="26" borderId="138" xfId="0" applyFill="1" applyBorder="1" applyAlignment="1">
      <alignment horizontal="center"/>
    </xf>
    <xf numFmtId="0" fontId="0" fillId="26" borderId="133" xfId="0" applyFill="1" applyBorder="1" applyAlignment="1">
      <alignment horizontal="center"/>
    </xf>
    <xf numFmtId="0" fontId="145" fillId="31" borderId="21" xfId="1" applyFont="1" applyFill="1" applyBorder="1" applyAlignment="1" applyProtection="1">
      <alignment horizontal="center" vertical="center" wrapText="1"/>
      <protection locked="0"/>
    </xf>
    <xf numFmtId="0" fontId="145" fillId="31" borderId="22" xfId="1" applyFont="1" applyFill="1" applyBorder="1" applyAlignment="1" applyProtection="1">
      <alignment horizontal="center" vertical="center" wrapText="1"/>
      <protection locked="0"/>
    </xf>
    <xf numFmtId="0" fontId="145" fillId="31" borderId="18" xfId="1" applyFont="1" applyFill="1" applyBorder="1" applyAlignment="1" applyProtection="1">
      <alignment horizontal="center" vertical="center" wrapText="1"/>
      <protection locked="0"/>
    </xf>
    <xf numFmtId="0" fontId="145" fillId="31" borderId="12" xfId="1" applyFont="1" applyFill="1" applyBorder="1" applyAlignment="1" applyProtection="1">
      <alignment horizontal="center" vertical="center" wrapText="1"/>
      <protection locked="0"/>
    </xf>
    <xf numFmtId="0" fontId="145" fillId="31" borderId="19" xfId="1" applyFont="1" applyFill="1" applyBorder="1" applyAlignment="1" applyProtection="1">
      <alignment horizontal="center" vertical="center" wrapText="1"/>
      <protection locked="0"/>
    </xf>
    <xf numFmtId="0" fontId="145" fillId="31" borderId="4" xfId="1" applyFont="1" applyFill="1" applyBorder="1" applyAlignment="1" applyProtection="1">
      <alignment horizontal="center" vertical="center" wrapText="1"/>
      <protection locked="0"/>
    </xf>
    <xf numFmtId="8" fontId="84" fillId="31" borderId="18" xfId="0" applyNumberFormat="1" applyFont="1" applyFill="1" applyBorder="1" applyAlignment="1" applyProtection="1">
      <alignment horizontal="center"/>
      <protection hidden="1"/>
    </xf>
    <xf numFmtId="8" fontId="84" fillId="31" borderId="0" xfId="0" applyNumberFormat="1" applyFont="1" applyFill="1" applyAlignment="1" applyProtection="1">
      <alignment horizontal="center"/>
      <protection hidden="1"/>
    </xf>
    <xf numFmtId="8" fontId="84" fillId="31" borderId="12" xfId="0" applyNumberFormat="1" applyFont="1" applyFill="1" applyBorder="1" applyAlignment="1" applyProtection="1">
      <alignment horizontal="center"/>
      <protection hidden="1"/>
    </xf>
    <xf numFmtId="0" fontId="0" fillId="31" borderId="18" xfId="0" applyFill="1" applyBorder="1" applyAlignment="1" applyProtection="1">
      <alignment horizontal="center"/>
      <protection hidden="1"/>
    </xf>
    <xf numFmtId="0" fontId="0" fillId="31" borderId="0" xfId="0" applyFill="1" applyAlignment="1" applyProtection="1">
      <alignment horizontal="center"/>
      <protection hidden="1"/>
    </xf>
    <xf numFmtId="0" fontId="0" fillId="31" borderId="12" xfId="0" applyFill="1" applyBorder="1" applyAlignment="1" applyProtection="1">
      <alignment horizontal="center"/>
      <protection hidden="1"/>
    </xf>
    <xf numFmtId="0" fontId="138" fillId="31" borderId="18" xfId="0" applyFont="1" applyFill="1" applyBorder="1" applyAlignment="1" applyProtection="1">
      <alignment horizontal="center" vertical="center"/>
      <protection hidden="1"/>
    </xf>
    <xf numFmtId="0" fontId="138" fillId="31" borderId="0" xfId="0" applyFont="1" applyFill="1" applyAlignment="1" applyProtection="1">
      <alignment horizontal="center" vertical="center"/>
      <protection hidden="1"/>
    </xf>
    <xf numFmtId="0" fontId="138" fillId="31" borderId="12" xfId="0" applyFont="1" applyFill="1" applyBorder="1" applyAlignment="1" applyProtection="1">
      <alignment horizontal="center" vertical="center"/>
      <protection hidden="1"/>
    </xf>
    <xf numFmtId="0" fontId="24" fillId="0" borderId="0" xfId="0" applyFont="1" applyAlignment="1">
      <alignment horizontal="center"/>
    </xf>
    <xf numFmtId="0" fontId="3" fillId="0" borderId="0" xfId="0" applyFont="1" applyAlignment="1" applyProtection="1">
      <alignment horizontal="center"/>
      <protection hidden="1"/>
    </xf>
    <xf numFmtId="0" fontId="45" fillId="0" borderId="23" xfId="0" applyFont="1" applyBorder="1" applyAlignment="1" applyProtection="1">
      <alignment horizontal="center" vertical="center"/>
      <protection hidden="1"/>
    </xf>
    <xf numFmtId="0" fontId="45" fillId="0" borderId="25" xfId="0" applyFont="1" applyBorder="1" applyAlignment="1" applyProtection="1">
      <alignment horizontal="center" vertical="center"/>
      <protection hidden="1"/>
    </xf>
    <xf numFmtId="0" fontId="45" fillId="0" borderId="24" xfId="0" applyFont="1" applyBorder="1" applyAlignment="1" applyProtection="1">
      <alignment horizontal="center" vertical="center"/>
      <protection hidden="1"/>
    </xf>
    <xf numFmtId="0" fontId="140" fillId="31" borderId="0" xfId="0" applyFont="1" applyFill="1" applyAlignment="1" applyProtection="1">
      <alignment horizontal="center" vertical="center"/>
      <protection hidden="1"/>
    </xf>
    <xf numFmtId="0" fontId="11" fillId="32" borderId="87" xfId="1" applyFill="1" applyBorder="1" applyAlignment="1" applyProtection="1">
      <alignment horizontal="center" vertical="center"/>
      <protection locked="0"/>
    </xf>
    <xf numFmtId="0" fontId="11" fillId="32" borderId="89" xfId="1" applyFill="1" applyBorder="1" applyAlignment="1" applyProtection="1">
      <alignment horizontal="center" vertical="center"/>
      <protection locked="0"/>
    </xf>
    <xf numFmtId="0" fontId="16" fillId="0" borderId="29" xfId="0" applyFont="1" applyBorder="1" applyAlignment="1" applyProtection="1">
      <alignment horizontal="right"/>
      <protection hidden="1"/>
    </xf>
    <xf numFmtId="0" fontId="16" fillId="0" borderId="40" xfId="0" applyFont="1" applyBorder="1" applyAlignment="1" applyProtection="1">
      <alignment horizontal="right"/>
      <protection hidden="1"/>
    </xf>
    <xf numFmtId="0" fontId="23" fillId="27" borderId="21" xfId="0" applyFont="1" applyFill="1" applyBorder="1" applyAlignment="1" applyProtection="1">
      <alignment horizontal="right"/>
      <protection hidden="1"/>
    </xf>
    <xf numFmtId="0" fontId="23" fillId="27" borderId="2" xfId="0" applyFont="1" applyFill="1" applyBorder="1" applyAlignment="1" applyProtection="1">
      <alignment horizontal="right"/>
      <protection hidden="1"/>
    </xf>
    <xf numFmtId="0" fontId="6" fillId="0" borderId="46" xfId="0" applyFont="1" applyBorder="1" applyAlignment="1" applyProtection="1">
      <alignment horizontal="right"/>
      <protection hidden="1"/>
    </xf>
    <xf numFmtId="0" fontId="6" fillId="0" borderId="0" xfId="0" applyFont="1" applyAlignment="1" applyProtection="1">
      <alignment horizontal="right"/>
      <protection hidden="1"/>
    </xf>
    <xf numFmtId="0" fontId="0" fillId="0" borderId="46" xfId="0" applyBorder="1" applyAlignment="1" applyProtection="1">
      <alignment horizontal="right"/>
      <protection hidden="1"/>
    </xf>
    <xf numFmtId="0" fontId="0" fillId="0" borderId="0" xfId="0" applyAlignment="1" applyProtection="1">
      <alignment horizontal="right"/>
      <protection hidden="1"/>
    </xf>
    <xf numFmtId="0" fontId="16" fillId="0" borderId="46" xfId="0" applyFont="1" applyBorder="1" applyAlignment="1" applyProtection="1">
      <alignment horizontal="right"/>
      <protection hidden="1"/>
    </xf>
    <xf numFmtId="0" fontId="16" fillId="0" borderId="0" xfId="0" applyFont="1" applyAlignment="1" applyProtection="1">
      <alignment horizontal="right"/>
      <protection hidden="1"/>
    </xf>
    <xf numFmtId="0" fontId="3" fillId="0" borderId="46" xfId="0" applyFont="1" applyBorder="1" applyAlignment="1" applyProtection="1">
      <alignment horizontal="right"/>
      <protection hidden="1"/>
    </xf>
    <xf numFmtId="0" fontId="3" fillId="0" borderId="0" xfId="0" applyFont="1" applyAlignment="1" applyProtection="1">
      <alignment horizontal="right"/>
      <protection hidden="1"/>
    </xf>
    <xf numFmtId="0" fontId="16" fillId="0" borderId="0" xfId="0" applyFont="1" applyAlignment="1" applyProtection="1">
      <alignment horizontal="center"/>
      <protection hidden="1"/>
    </xf>
    <xf numFmtId="0" fontId="3" fillId="0" borderId="0" xfId="0" applyFont="1" applyAlignment="1" applyProtection="1">
      <alignment horizontal="left"/>
      <protection hidden="1"/>
    </xf>
    <xf numFmtId="0" fontId="84" fillId="0" borderId="0" xfId="1" applyFont="1" applyFill="1" applyBorder="1" applyAlignment="1" applyProtection="1">
      <alignment horizontal="center"/>
      <protection hidden="1"/>
    </xf>
    <xf numFmtId="0" fontId="53" fillId="0" borderId="0" xfId="0" applyFont="1" applyAlignment="1" applyProtection="1">
      <alignment horizontal="center"/>
      <protection hidden="1"/>
    </xf>
    <xf numFmtId="0" fontId="86" fillId="0" borderId="0" xfId="0" applyFont="1" applyAlignment="1" applyProtection="1">
      <alignment horizontal="center"/>
      <protection hidden="1"/>
    </xf>
    <xf numFmtId="0" fontId="53" fillId="0" borderId="13" xfId="0" applyFont="1" applyBorder="1" applyAlignment="1" applyProtection="1">
      <alignment horizontal="center"/>
      <protection hidden="1"/>
    </xf>
    <xf numFmtId="172" fontId="27" fillId="0" borderId="0" xfId="0" applyNumberFormat="1" applyFont="1" applyAlignment="1" applyProtection="1">
      <alignment horizontal="left"/>
      <protection hidden="1"/>
    </xf>
    <xf numFmtId="0" fontId="3" fillId="0" borderId="0" xfId="1" applyFont="1" applyAlignment="1" applyProtection="1">
      <alignment horizontal="center"/>
      <protection hidden="1"/>
    </xf>
    <xf numFmtId="0" fontId="16" fillId="0" borderId="0" xfId="1" applyFont="1" applyAlignment="1" applyProtection="1">
      <alignment horizontal="center"/>
      <protection hidden="1"/>
    </xf>
    <xf numFmtId="0" fontId="5" fillId="0" borderId="0" xfId="0" applyFont="1" applyAlignment="1" applyProtection="1">
      <alignment horizontal="center"/>
      <protection hidden="1"/>
    </xf>
    <xf numFmtId="0" fontId="27" fillId="0" borderId="0" xfId="0" applyFont="1" applyAlignment="1" applyProtection="1">
      <alignment horizontal="right" wrapText="1"/>
      <protection hidden="1"/>
    </xf>
    <xf numFmtId="0" fontId="16" fillId="0" borderId="0" xfId="0" applyFont="1" applyAlignment="1" applyProtection="1">
      <alignment horizontal="left"/>
      <protection hidden="1"/>
    </xf>
    <xf numFmtId="0" fontId="3" fillId="0" borderId="0" xfId="1" applyFont="1" applyFill="1" applyBorder="1" applyAlignment="1" applyProtection="1">
      <alignment horizontal="left"/>
      <protection hidden="1"/>
    </xf>
    <xf numFmtId="0" fontId="16" fillId="0" borderId="0" xfId="1" applyFont="1" applyFill="1" applyBorder="1" applyAlignment="1" applyProtection="1">
      <alignment horizontal="left"/>
      <protection hidden="1"/>
    </xf>
    <xf numFmtId="0" fontId="27" fillId="0" borderId="0" xfId="0" applyFont="1" applyAlignment="1" applyProtection="1">
      <alignment horizontal="center"/>
      <protection hidden="1"/>
    </xf>
    <xf numFmtId="0" fontId="56" fillId="0" borderId="0" xfId="0" applyFont="1" applyAlignment="1" applyProtection="1">
      <alignment horizontal="center"/>
      <protection hidden="1"/>
    </xf>
    <xf numFmtId="0" fontId="6" fillId="0" borderId="29" xfId="0" applyFont="1" applyBorder="1" applyAlignment="1" applyProtection="1">
      <alignment horizontal="right"/>
      <protection hidden="1"/>
    </xf>
    <xf numFmtId="0" fontId="6" fillId="0" borderId="40" xfId="0" applyFont="1" applyBorder="1" applyAlignment="1" applyProtection="1">
      <alignment horizontal="right"/>
      <protection hidden="1"/>
    </xf>
    <xf numFmtId="0" fontId="16" fillId="6" borderId="0" xfId="0" applyFont="1" applyFill="1" applyAlignment="1" applyProtection="1">
      <alignment horizontal="right"/>
      <protection hidden="1"/>
    </xf>
    <xf numFmtId="0" fontId="37" fillId="0" borderId="65" xfId="0" applyFont="1" applyBorder="1" applyAlignment="1" applyProtection="1">
      <alignment horizontal="right" wrapText="1"/>
      <protection hidden="1"/>
    </xf>
    <xf numFmtId="0" fontId="37" fillId="0" borderId="0" xfId="0" applyFont="1" applyAlignment="1" applyProtection="1">
      <alignment horizontal="right" wrapText="1"/>
      <protection hidden="1"/>
    </xf>
    <xf numFmtId="0" fontId="6" fillId="4" borderId="6"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0" fontId="16" fillId="4" borderId="74" xfId="0" applyFont="1" applyFill="1" applyBorder="1" applyAlignment="1" applyProtection="1">
      <alignment horizontal="center"/>
      <protection hidden="1"/>
    </xf>
    <xf numFmtId="0" fontId="16" fillId="4" borderId="75" xfId="0" applyFont="1" applyFill="1" applyBorder="1" applyAlignment="1" applyProtection="1">
      <alignment horizontal="center"/>
      <protection hidden="1"/>
    </xf>
    <xf numFmtId="0" fontId="16" fillId="4" borderId="76" xfId="0" applyFont="1" applyFill="1" applyBorder="1" applyAlignment="1" applyProtection="1">
      <alignment horizontal="center"/>
      <protection hidden="1"/>
    </xf>
    <xf numFmtId="0" fontId="6" fillId="4" borderId="73"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6" fillId="0" borderId="77" xfId="0" applyFont="1" applyBorder="1" applyAlignment="1" applyProtection="1">
      <alignment horizontal="right"/>
      <protection hidden="1"/>
    </xf>
    <xf numFmtId="0" fontId="6" fillId="0" borderId="13" xfId="0" applyFont="1" applyBorder="1" applyAlignment="1" applyProtection="1">
      <alignment horizontal="right"/>
      <protection hidden="1"/>
    </xf>
    <xf numFmtId="0" fontId="56" fillId="0" borderId="0" xfId="0" applyFont="1" applyAlignment="1" applyProtection="1">
      <alignment horizontal="center" vertical="center"/>
      <protection hidden="1"/>
    </xf>
    <xf numFmtId="0" fontId="16" fillId="4" borderId="3" xfId="0" applyFont="1" applyFill="1" applyBorder="1" applyAlignment="1" applyProtection="1">
      <alignment horizontal="center"/>
      <protection hidden="1"/>
    </xf>
    <xf numFmtId="0" fontId="86" fillId="0" borderId="0" xfId="1" applyFont="1" applyAlignment="1" applyProtection="1">
      <alignment horizontal="left"/>
      <protection locked="0"/>
    </xf>
    <xf numFmtId="0" fontId="86" fillId="0" borderId="0" xfId="1" applyFont="1" applyFill="1" applyBorder="1" applyAlignment="1" applyProtection="1">
      <alignment horizontal="left"/>
      <protection locked="0"/>
    </xf>
    <xf numFmtId="0" fontId="86" fillId="0" borderId="18" xfId="1" applyFont="1" applyBorder="1" applyAlignment="1" applyProtection="1">
      <alignment horizontal="left"/>
      <protection locked="0"/>
    </xf>
    <xf numFmtId="0" fontId="37" fillId="0" borderId="18" xfId="0" applyFont="1" applyBorder="1" applyAlignment="1">
      <alignment horizontal="center"/>
    </xf>
    <xf numFmtId="0" fontId="37" fillId="0" borderId="0" xfId="0" applyFont="1" applyAlignment="1">
      <alignment horizontal="center"/>
    </xf>
    <xf numFmtId="0" fontId="37" fillId="0" borderId="12" xfId="0" applyFont="1" applyBorder="1" applyAlignment="1">
      <alignment horizontal="center"/>
    </xf>
    <xf numFmtId="0" fontId="37" fillId="0" borderId="8" xfId="0" applyFont="1" applyBorder="1" applyAlignment="1">
      <alignment horizontal="left"/>
    </xf>
    <xf numFmtId="0" fontId="37" fillId="0" borderId="21" xfId="0" applyFont="1" applyBorder="1" applyAlignment="1">
      <alignment horizontal="center"/>
    </xf>
    <xf numFmtId="0" fontId="37" fillId="0" borderId="2" xfId="0" applyFont="1" applyBorder="1" applyAlignment="1">
      <alignment horizontal="center"/>
    </xf>
    <xf numFmtId="0" fontId="37" fillId="0" borderId="22" xfId="0" applyFont="1" applyBorder="1" applyAlignment="1">
      <alignment horizontal="center"/>
    </xf>
    <xf numFmtId="0" fontId="16" fillId="0" borderId="6" xfId="0" applyFont="1" applyBorder="1" applyAlignment="1" applyProtection="1">
      <alignment horizontal="right"/>
      <protection hidden="1"/>
    </xf>
    <xf numFmtId="0" fontId="16" fillId="0" borderId="3" xfId="0" applyFont="1" applyBorder="1" applyAlignment="1" applyProtection="1">
      <alignment horizontal="right"/>
      <protection hidden="1"/>
    </xf>
    <xf numFmtId="0" fontId="16" fillId="0" borderId="7" xfId="0" applyFont="1" applyBorder="1" applyAlignment="1" applyProtection="1">
      <alignment horizontal="right"/>
      <protection hidden="1"/>
    </xf>
    <xf numFmtId="0" fontId="16" fillId="0" borderId="23" xfId="0" applyFont="1" applyBorder="1" applyAlignment="1" applyProtection="1">
      <alignment horizontal="center" vertical="center"/>
      <protection hidden="1"/>
    </xf>
    <xf numFmtId="0" fontId="16" fillId="0" borderId="24" xfId="0" applyFont="1" applyBorder="1" applyAlignment="1" applyProtection="1">
      <alignment horizontal="center" vertical="center"/>
      <protection hidden="1"/>
    </xf>
    <xf numFmtId="0" fontId="3" fillId="0" borderId="21" xfId="0" applyFont="1" applyBorder="1" applyAlignment="1" applyProtection="1">
      <alignment horizontal="center"/>
      <protection hidden="1"/>
    </xf>
    <xf numFmtId="0" fontId="3" fillId="0" borderId="2" xfId="0" applyFont="1" applyBorder="1" applyAlignment="1" applyProtection="1">
      <alignment horizontal="center"/>
      <protection hidden="1"/>
    </xf>
    <xf numFmtId="0" fontId="3" fillId="0" borderId="22" xfId="0" applyFont="1" applyBorder="1" applyAlignment="1" applyProtection="1">
      <alignment horizontal="center"/>
      <protection hidden="1"/>
    </xf>
    <xf numFmtId="0" fontId="3" fillId="0" borderId="19" xfId="0" applyFont="1" applyBorder="1" applyAlignment="1" applyProtection="1">
      <alignment horizontal="center"/>
      <protection hidden="1"/>
    </xf>
    <xf numFmtId="0" fontId="3" fillId="0" borderId="1" xfId="0" applyFont="1" applyBorder="1" applyAlignment="1" applyProtection="1">
      <alignment horizontal="center"/>
      <protection hidden="1"/>
    </xf>
    <xf numFmtId="0" fontId="3" fillId="0" borderId="4" xfId="0" applyFont="1" applyBorder="1" applyAlignment="1" applyProtection="1">
      <alignment horizontal="center"/>
      <protection hidden="1"/>
    </xf>
    <xf numFmtId="0" fontId="3" fillId="0" borderId="38" xfId="0" applyFont="1" applyBorder="1" applyAlignment="1" applyProtection="1">
      <alignment horizontal="left"/>
      <protection hidden="1"/>
    </xf>
    <xf numFmtId="0" fontId="3" fillId="0" borderId="39" xfId="0" applyFont="1" applyBorder="1" applyAlignment="1" applyProtection="1">
      <alignment horizontal="left"/>
      <protection hidden="1"/>
    </xf>
    <xf numFmtId="0" fontId="3" fillId="0" borderId="41" xfId="0" applyFont="1" applyBorder="1" applyAlignment="1" applyProtection="1">
      <alignment horizontal="left"/>
      <protection hidden="1"/>
    </xf>
    <xf numFmtId="0" fontId="3" fillId="0" borderId="27" xfId="0" applyFont="1" applyBorder="1" applyAlignment="1" applyProtection="1">
      <alignment horizontal="left"/>
      <protection hidden="1"/>
    </xf>
    <xf numFmtId="0" fontId="3" fillId="0" borderId="3" xfId="0" applyFont="1" applyBorder="1" applyAlignment="1" applyProtection="1">
      <alignment horizontal="left"/>
      <protection hidden="1"/>
    </xf>
    <xf numFmtId="0" fontId="3" fillId="0" borderId="42" xfId="0" applyFont="1" applyBorder="1" applyAlignment="1" applyProtection="1">
      <alignment horizontal="left"/>
      <protection hidden="1"/>
    </xf>
    <xf numFmtId="0" fontId="3" fillId="0" borderId="27" xfId="0" applyFont="1" applyBorder="1" applyProtection="1">
      <protection hidden="1"/>
    </xf>
    <xf numFmtId="0" fontId="3" fillId="0" borderId="3" xfId="0" applyFont="1" applyBorder="1" applyProtection="1">
      <protection hidden="1"/>
    </xf>
    <xf numFmtId="0" fontId="3" fillId="0" borderId="42" xfId="0" applyFont="1" applyBorder="1" applyProtection="1">
      <protection hidden="1"/>
    </xf>
    <xf numFmtId="0" fontId="3" fillId="0" borderId="34" xfId="0" applyFont="1" applyBorder="1" applyAlignment="1" applyProtection="1">
      <alignment horizontal="left"/>
      <protection hidden="1"/>
    </xf>
    <xf numFmtId="0" fontId="3" fillId="0" borderId="35" xfId="0" applyFont="1" applyBorder="1" applyAlignment="1" applyProtection="1">
      <alignment horizontal="left"/>
      <protection hidden="1"/>
    </xf>
    <xf numFmtId="0" fontId="3" fillId="0" borderId="43" xfId="0" applyFont="1" applyBorder="1" applyAlignment="1" applyProtection="1">
      <alignment horizontal="left"/>
      <protection hidden="1"/>
    </xf>
    <xf numFmtId="0" fontId="3" fillId="0" borderId="28" xfId="0" applyFont="1" applyBorder="1" applyAlignment="1" applyProtection="1">
      <alignment horizontal="left"/>
      <protection hidden="1"/>
    </xf>
    <xf numFmtId="0" fontId="3" fillId="0" borderId="30" xfId="0" applyFont="1" applyBorder="1" applyAlignment="1" applyProtection="1">
      <alignment horizontal="left"/>
      <protection hidden="1"/>
    </xf>
    <xf numFmtId="0" fontId="3" fillId="0" borderId="44" xfId="0" applyFont="1" applyBorder="1" applyAlignment="1" applyProtection="1">
      <alignment horizontal="left"/>
      <protection hidden="1"/>
    </xf>
    <xf numFmtId="0" fontId="3" fillId="0" borderId="29" xfId="0" applyFont="1" applyBorder="1" applyAlignment="1" applyProtection="1">
      <alignment horizontal="left"/>
      <protection hidden="1"/>
    </xf>
    <xf numFmtId="0" fontId="3" fillId="0" borderId="40" xfId="0" applyFont="1" applyBorder="1" applyAlignment="1" applyProtection="1">
      <alignment horizontal="left"/>
      <protection hidden="1"/>
    </xf>
    <xf numFmtId="0" fontId="3" fillId="0" borderId="45" xfId="0" applyFont="1" applyBorder="1" applyAlignment="1" applyProtection="1">
      <alignment horizontal="left"/>
      <protection hidden="1"/>
    </xf>
    <xf numFmtId="0" fontId="16" fillId="0" borderId="19" xfId="0" applyFont="1" applyBorder="1" applyAlignment="1" applyProtection="1">
      <alignment horizontal="left"/>
      <protection hidden="1"/>
    </xf>
    <xf numFmtId="0" fontId="16" fillId="0" borderId="1" xfId="0" applyFont="1" applyBorder="1" applyAlignment="1" applyProtection="1">
      <alignment horizontal="left"/>
      <protection hidden="1"/>
    </xf>
    <xf numFmtId="0" fontId="16" fillId="0" borderId="4" xfId="0" applyFont="1" applyBorder="1" applyAlignment="1" applyProtection="1">
      <alignment horizontal="left"/>
      <protection hidden="1"/>
    </xf>
    <xf numFmtId="0" fontId="16" fillId="0" borderId="21" xfId="0" applyFont="1" applyBorder="1" applyAlignment="1" applyProtection="1">
      <alignment horizontal="right"/>
      <protection hidden="1"/>
    </xf>
    <xf numFmtId="0" fontId="16" fillId="0" borderId="2" xfId="0" applyFont="1" applyBorder="1" applyAlignment="1" applyProtection="1">
      <alignment horizontal="right"/>
      <protection hidden="1"/>
    </xf>
    <xf numFmtId="0" fontId="16" fillId="0" borderId="22" xfId="0" applyFont="1" applyBorder="1" applyAlignment="1" applyProtection="1">
      <alignment horizontal="right"/>
      <protection hidden="1"/>
    </xf>
    <xf numFmtId="0" fontId="24" fillId="0" borderId="8" xfId="0" applyFont="1" applyBorder="1" applyAlignment="1" applyProtection="1">
      <alignment horizontal="center"/>
      <protection hidden="1"/>
    </xf>
    <xf numFmtId="0" fontId="16" fillId="0" borderId="21" xfId="0" applyFont="1" applyBorder="1" applyAlignment="1" applyProtection="1">
      <alignment horizontal="center" vertical="center"/>
      <protection hidden="1"/>
    </xf>
    <xf numFmtId="0" fontId="16" fillId="0" borderId="18" xfId="0" applyFont="1" applyBorder="1" applyAlignment="1" applyProtection="1">
      <alignment horizontal="center" vertical="center"/>
      <protection hidden="1"/>
    </xf>
    <xf numFmtId="0" fontId="16" fillId="0" borderId="19" xfId="0" applyFont="1" applyBorder="1" applyAlignment="1" applyProtection="1">
      <alignment horizontal="center" vertical="center"/>
      <protection hidden="1"/>
    </xf>
    <xf numFmtId="0" fontId="3" fillId="0" borderId="6"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3" fillId="0" borderId="7" xfId="0" applyFont="1" applyBorder="1" applyAlignment="1" applyProtection="1">
      <alignment horizontal="center"/>
      <protection hidden="1"/>
    </xf>
    <xf numFmtId="0" fontId="16" fillId="0" borderId="21" xfId="0" applyFont="1" applyBorder="1" applyAlignment="1" applyProtection="1">
      <alignment horizontal="center"/>
      <protection hidden="1"/>
    </xf>
    <xf numFmtId="0" fontId="16" fillId="0" borderId="18" xfId="0" applyFont="1" applyBorder="1" applyAlignment="1" applyProtection="1">
      <alignment horizontal="center"/>
      <protection hidden="1"/>
    </xf>
    <xf numFmtId="8" fontId="16" fillId="0" borderId="18" xfId="0" applyNumberFormat="1" applyFont="1" applyBorder="1" applyAlignment="1" applyProtection="1">
      <alignment horizontal="center" vertical="top"/>
      <protection hidden="1"/>
    </xf>
    <xf numFmtId="0" fontId="16" fillId="0" borderId="19" xfId="0" applyFont="1" applyBorder="1" applyAlignment="1" applyProtection="1">
      <alignment horizontal="center" vertical="top"/>
      <protection hidden="1"/>
    </xf>
    <xf numFmtId="0" fontId="3" fillId="0" borderId="6" xfId="0" applyFont="1" applyBorder="1" applyAlignment="1" applyProtection="1">
      <alignment horizontal="left"/>
      <protection hidden="1"/>
    </xf>
    <xf numFmtId="0" fontId="3" fillId="0" borderId="7" xfId="0" applyFont="1" applyBorder="1" applyAlignment="1" applyProtection="1">
      <alignment horizontal="left"/>
      <protection hidden="1"/>
    </xf>
    <xf numFmtId="0" fontId="16" fillId="0" borderId="25" xfId="0" applyFont="1" applyBorder="1" applyAlignment="1" applyProtection="1">
      <alignment horizontal="center" vertical="center"/>
      <protection hidden="1"/>
    </xf>
    <xf numFmtId="0" fontId="3" fillId="0" borderId="8" xfId="0" applyFont="1" applyBorder="1" applyAlignment="1" applyProtection="1">
      <alignment horizontal="center" wrapText="1"/>
      <protection hidden="1"/>
    </xf>
    <xf numFmtId="0" fontId="3" fillId="0" borderId="23" xfId="0" applyFont="1" applyBorder="1" applyAlignment="1" applyProtection="1">
      <alignment horizontal="center" wrapText="1"/>
      <protection hidden="1"/>
    </xf>
    <xf numFmtId="0" fontId="6" fillId="0" borderId="0" xfId="0" applyFont="1" applyAlignment="1" applyProtection="1">
      <alignment horizontal="center"/>
      <protection hidden="1"/>
    </xf>
    <xf numFmtId="0" fontId="6" fillId="0" borderId="0" xfId="1" quotePrefix="1" applyFont="1" applyFill="1" applyAlignment="1" applyProtection="1">
      <alignment horizontal="center"/>
      <protection hidden="1"/>
    </xf>
    <xf numFmtId="0" fontId="6" fillId="0" borderId="0" xfId="1" applyFont="1" applyFill="1" applyAlignment="1" applyProtection="1">
      <alignment horizontal="center"/>
      <protection hidden="1"/>
    </xf>
    <xf numFmtId="0" fontId="16" fillId="0" borderId="5" xfId="0" applyFont="1" applyBorder="1" applyAlignment="1" applyProtection="1">
      <alignment horizontal="left"/>
      <protection hidden="1"/>
    </xf>
    <xf numFmtId="0" fontId="7" fillId="0" borderId="0" xfId="0" applyFont="1" applyAlignment="1" applyProtection="1">
      <alignment horizontal="left"/>
      <protection hidden="1"/>
    </xf>
    <xf numFmtId="0" fontId="74" fillId="0" borderId="0" xfId="0" applyFont="1" applyProtection="1">
      <protection hidden="1"/>
    </xf>
    <xf numFmtId="0" fontId="27" fillId="0" borderId="2" xfId="0" applyFont="1" applyBorder="1" applyAlignment="1" applyProtection="1">
      <alignment horizontal="center"/>
      <protection hidden="1"/>
    </xf>
    <xf numFmtId="8" fontId="6" fillId="0" borderId="14" xfId="0" applyNumberFormat="1" applyFont="1" applyBorder="1" applyAlignment="1" applyProtection="1">
      <alignment horizontal="right"/>
      <protection hidden="1"/>
    </xf>
    <xf numFmtId="0" fontId="16" fillId="0" borderId="0" xfId="1" applyFont="1" applyAlignment="1" applyProtection="1">
      <alignment horizontal="center" wrapText="1"/>
      <protection hidden="1"/>
    </xf>
    <xf numFmtId="0" fontId="16" fillId="0" borderId="5" xfId="1" applyFont="1" applyBorder="1" applyAlignment="1" applyProtection="1">
      <alignment horizontal="center" wrapText="1"/>
      <protection hidden="1"/>
    </xf>
    <xf numFmtId="0" fontId="6" fillId="0" borderId="2" xfId="0" applyFont="1" applyBorder="1" applyAlignment="1" applyProtection="1">
      <alignment horizontal="center"/>
      <protection hidden="1"/>
    </xf>
    <xf numFmtId="0" fontId="6" fillId="0" borderId="0" xfId="0" quotePrefix="1" applyFont="1" applyAlignment="1" applyProtection="1">
      <alignment horizontal="right"/>
      <protection hidden="1"/>
    </xf>
    <xf numFmtId="0" fontId="7" fillId="0" borderId="1" xfId="0" quotePrefix="1" applyFont="1" applyBorder="1" applyAlignment="1" applyProtection="1">
      <alignment horizontal="center"/>
      <protection hidden="1"/>
    </xf>
    <xf numFmtId="0" fontId="7" fillId="0" borderId="1" xfId="0" applyFont="1" applyBorder="1" applyAlignment="1" applyProtection="1">
      <alignment horizontal="center"/>
      <protection hidden="1"/>
    </xf>
    <xf numFmtId="167" fontId="6" fillId="0" borderId="1" xfId="0" applyNumberFormat="1" applyFont="1" applyBorder="1" applyAlignment="1" applyProtection="1">
      <alignment horizontal="center"/>
      <protection hidden="1"/>
    </xf>
    <xf numFmtId="0" fontId="16" fillId="0" borderId="1" xfId="0" applyFont="1" applyBorder="1" applyAlignment="1" applyProtection="1">
      <alignment horizontal="center"/>
      <protection hidden="1"/>
    </xf>
    <xf numFmtId="0" fontId="27" fillId="0" borderId="0" xfId="0" applyFont="1" applyAlignment="1" applyProtection="1">
      <alignment horizontal="right"/>
      <protection hidden="1"/>
    </xf>
    <xf numFmtId="0" fontId="6" fillId="0" borderId="0" xfId="0" applyFont="1" applyAlignment="1" applyProtection="1">
      <alignment horizontal="left"/>
      <protection hidden="1"/>
    </xf>
    <xf numFmtId="0" fontId="20" fillId="0" borderId="0" xfId="1" applyFont="1" applyBorder="1" applyAlignment="1" applyProtection="1">
      <alignment horizontal="center"/>
      <protection hidden="1"/>
    </xf>
    <xf numFmtId="0" fontId="6" fillId="0" borderId="0" xfId="1" applyFont="1" applyBorder="1" applyAlignment="1" applyProtection="1">
      <alignment horizontal="center"/>
      <protection hidden="1"/>
    </xf>
    <xf numFmtId="0" fontId="3" fillId="0" borderId="5" xfId="0" applyFont="1" applyBorder="1" applyAlignment="1" applyProtection="1">
      <alignment horizontal="center"/>
      <protection hidden="1"/>
    </xf>
    <xf numFmtId="20" fontId="6" fillId="0" borderId="0" xfId="0" applyNumberFormat="1" applyFont="1" applyAlignment="1" applyProtection="1">
      <alignment horizontal="left"/>
      <protection hidden="1"/>
    </xf>
    <xf numFmtId="0" fontId="20" fillId="0" borderId="5" xfId="0" applyFont="1" applyBorder="1" applyAlignment="1" applyProtection="1">
      <alignment horizontal="center"/>
      <protection hidden="1"/>
    </xf>
    <xf numFmtId="0" fontId="20" fillId="0" borderId="5" xfId="0" applyFont="1" applyBorder="1" applyAlignment="1" applyProtection="1">
      <alignment horizontal="left"/>
      <protection hidden="1"/>
    </xf>
    <xf numFmtId="0" fontId="20" fillId="0" borderId="10" xfId="0" applyFont="1" applyBorder="1" applyAlignment="1" applyProtection="1">
      <alignment horizontal="center"/>
      <protection hidden="1"/>
    </xf>
    <xf numFmtId="0" fontId="76" fillId="0" borderId="3" xfId="0" applyFont="1" applyBorder="1" applyAlignment="1">
      <alignment horizontal="left"/>
    </xf>
    <xf numFmtId="0" fontId="76" fillId="0" borderId="7" xfId="0" applyFont="1" applyBorder="1" applyAlignment="1">
      <alignment horizontal="left"/>
    </xf>
    <xf numFmtId="0" fontId="69" fillId="0" borderId="18" xfId="0" applyFont="1" applyBorder="1" applyAlignment="1">
      <alignment horizontal="left"/>
    </xf>
    <xf numFmtId="0" fontId="69" fillId="0" borderId="0" xfId="0" applyFont="1" applyAlignment="1">
      <alignment horizontal="left"/>
    </xf>
    <xf numFmtId="0" fontId="69" fillId="0" borderId="12" xfId="0" applyFont="1" applyBorder="1" applyAlignment="1">
      <alignment horizontal="left"/>
    </xf>
    <xf numFmtId="0" fontId="51" fillId="0" borderId="8" xfId="0" applyFont="1" applyBorder="1" applyAlignment="1">
      <alignment horizontal="center" wrapText="1"/>
    </xf>
    <xf numFmtId="0" fontId="57" fillId="0" borderId="0" xfId="0" applyFont="1" applyAlignment="1" applyProtection="1">
      <alignment horizontal="left"/>
      <protection hidden="1"/>
    </xf>
    <xf numFmtId="0" fontId="43" fillId="3" borderId="0" xfId="0" applyFont="1" applyFill="1" applyAlignment="1">
      <alignment horizontal="center"/>
    </xf>
    <xf numFmtId="0" fontId="31" fillId="0" borderId="0" xfId="0" applyFont="1" applyAlignment="1" applyProtection="1">
      <alignment horizontal="center"/>
      <protection hidden="1"/>
    </xf>
    <xf numFmtId="0" fontId="20" fillId="0" borderId="0" xfId="0" applyFont="1" applyAlignment="1" applyProtection="1">
      <alignment horizontal="left"/>
      <protection hidden="1"/>
    </xf>
    <xf numFmtId="0" fontId="29" fillId="0" borderId="0" xfId="0" quotePrefix="1" applyFont="1" applyAlignment="1" applyProtection="1">
      <alignment horizontal="right"/>
      <protection hidden="1"/>
    </xf>
    <xf numFmtId="0" fontId="30" fillId="0" borderId="0" xfId="0" applyFont="1" applyAlignment="1" applyProtection="1">
      <alignment horizontal="right"/>
      <protection hidden="1"/>
    </xf>
    <xf numFmtId="0" fontId="62" fillId="0" borderId="0" xfId="0" applyFont="1" applyAlignment="1" applyProtection="1">
      <alignment horizontal="center"/>
      <protection hidden="1"/>
    </xf>
    <xf numFmtId="0" fontId="76" fillId="0" borderId="23" xfId="0" applyFont="1" applyBorder="1" applyAlignment="1">
      <alignment horizontal="center" vertical="center"/>
    </xf>
    <xf numFmtId="0" fontId="76" fillId="0" borderId="25" xfId="0" applyFont="1" applyBorder="1" applyAlignment="1">
      <alignment horizontal="center" vertical="center"/>
    </xf>
    <xf numFmtId="0" fontId="51" fillId="0" borderId="6" xfId="0" applyFont="1" applyBorder="1" applyAlignment="1">
      <alignment horizontal="left"/>
    </xf>
    <xf numFmtId="0" fontId="51" fillId="0" borderId="3" xfId="0" applyFont="1" applyBorder="1" applyAlignment="1">
      <alignment horizontal="left"/>
    </xf>
    <xf numFmtId="0" fontId="51" fillId="0" borderId="7" xfId="0" applyFont="1" applyBorder="1" applyAlignment="1">
      <alignment horizontal="left"/>
    </xf>
    <xf numFmtId="0" fontId="3" fillId="0" borderId="0" xfId="0" applyFont="1" applyAlignment="1">
      <alignment horizontal="left"/>
    </xf>
    <xf numFmtId="0" fontId="35" fillId="0" borderId="0" xfId="0" applyFont="1" applyAlignment="1" applyProtection="1">
      <alignment horizontal="center"/>
      <protection hidden="1"/>
    </xf>
    <xf numFmtId="0" fontId="16" fillId="0" borderId="5" xfId="0" applyFont="1" applyBorder="1" applyAlignment="1" applyProtection="1">
      <alignment horizontal="left"/>
      <protection locked="0"/>
    </xf>
    <xf numFmtId="16" fontId="7" fillId="0" borderId="1" xfId="0" quotePrefix="1" applyNumberFormat="1" applyFont="1" applyBorder="1" applyAlignment="1" applyProtection="1">
      <alignment horizontal="center"/>
      <protection hidden="1"/>
    </xf>
    <xf numFmtId="167" fontId="6" fillId="0" borderId="1" xfId="0" applyNumberFormat="1" applyFont="1" applyBorder="1" applyAlignment="1" applyProtection="1">
      <alignment horizontal="center"/>
      <protection locked="0"/>
    </xf>
    <xf numFmtId="0" fontId="31" fillId="0" borderId="0" xfId="0" quotePrefix="1" applyFont="1" applyAlignment="1" applyProtection="1">
      <alignment horizontal="right"/>
      <protection hidden="1"/>
    </xf>
    <xf numFmtId="0" fontId="6" fillId="3" borderId="0" xfId="0" applyFont="1" applyFill="1" applyAlignment="1" applyProtection="1">
      <alignment horizontal="center"/>
      <protection locked="0"/>
    </xf>
    <xf numFmtId="0" fontId="84" fillId="0" borderId="0" xfId="1" applyFont="1" applyAlignment="1" applyProtection="1">
      <protection locked="0"/>
    </xf>
    <xf numFmtId="0" fontId="80" fillId="0" borderId="0" xfId="0" applyFont="1" applyAlignment="1" applyProtection="1">
      <alignment horizontal="center"/>
      <protection hidden="1"/>
    </xf>
    <xf numFmtId="0" fontId="20" fillId="0" borderId="5" xfId="0" applyFont="1" applyBorder="1" applyAlignment="1" applyProtection="1">
      <alignment horizontal="center"/>
      <protection locked="0"/>
    </xf>
    <xf numFmtId="0" fontId="28" fillId="0" borderId="2" xfId="0" applyFont="1" applyBorder="1" applyAlignment="1" applyProtection="1">
      <alignment horizontal="center"/>
      <protection hidden="1"/>
    </xf>
    <xf numFmtId="0" fontId="24" fillId="0" borderId="0" xfId="1" applyFont="1" applyAlignment="1" applyProtection="1">
      <alignment horizontal="center" wrapText="1"/>
      <protection locked="0"/>
    </xf>
    <xf numFmtId="0" fontId="24" fillId="0" borderId="5" xfId="1" applyFont="1" applyBorder="1" applyAlignment="1" applyProtection="1">
      <alignment horizontal="center" wrapText="1"/>
      <protection locked="0"/>
    </xf>
    <xf numFmtId="0" fontId="29" fillId="0" borderId="0" xfId="0" applyFont="1" applyAlignment="1" applyProtection="1">
      <alignment horizontal="right"/>
      <protection hidden="1"/>
    </xf>
    <xf numFmtId="8" fontId="29" fillId="0" borderId="14" xfId="0" applyNumberFormat="1" applyFont="1" applyBorder="1" applyAlignment="1" applyProtection="1">
      <alignment horizontal="right"/>
      <protection hidden="1"/>
    </xf>
    <xf numFmtId="0" fontId="31" fillId="0" borderId="0" xfId="0" applyFont="1" applyAlignment="1" applyProtection="1">
      <alignment horizontal="center"/>
      <protection locked="0"/>
    </xf>
    <xf numFmtId="0" fontId="23" fillId="0" borderId="0" xfId="0" applyFont="1" applyAlignment="1" applyProtection="1">
      <alignment horizontal="left"/>
      <protection hidden="1"/>
    </xf>
    <xf numFmtId="20" fontId="57" fillId="0" borderId="0" xfId="0" applyNumberFormat="1" applyFont="1" applyAlignment="1" applyProtection="1">
      <alignment horizontal="left"/>
      <protection hidden="1"/>
    </xf>
    <xf numFmtId="0" fontId="24" fillId="0" borderId="0" xfId="1" applyFont="1" applyAlignment="1" applyProtection="1">
      <alignment horizontal="center"/>
      <protection hidden="1"/>
    </xf>
    <xf numFmtId="0" fontId="24" fillId="0" borderId="0" xfId="0" applyFont="1" applyAlignment="1" applyProtection="1">
      <alignment horizontal="center"/>
      <protection hidden="1"/>
    </xf>
    <xf numFmtId="8" fontId="86" fillId="0" borderId="0" xfId="1" applyNumberFormat="1" applyFont="1" applyFill="1" applyAlignment="1" applyProtection="1">
      <alignment horizontal="left"/>
      <protection locked="0"/>
    </xf>
    <xf numFmtId="0" fontId="0" fillId="0" borderId="0" xfId="0" applyProtection="1">
      <protection hidden="1"/>
    </xf>
    <xf numFmtId="0" fontId="3" fillId="0" borderId="6" xfId="0" applyFont="1" applyBorder="1" applyAlignment="1">
      <alignment horizontal="left"/>
    </xf>
    <xf numFmtId="0" fontId="3" fillId="0" borderId="7" xfId="0" applyFont="1" applyBorder="1" applyAlignment="1">
      <alignment horizontal="left"/>
    </xf>
    <xf numFmtId="0" fontId="43" fillId="0" borderId="6" xfId="0" applyFont="1" applyBorder="1" applyAlignment="1">
      <alignment horizontal="left"/>
    </xf>
    <xf numFmtId="0" fontId="43" fillId="0" borderId="7" xfId="0" applyFont="1" applyBorder="1" applyAlignment="1">
      <alignment horizontal="left"/>
    </xf>
    <xf numFmtId="8" fontId="3" fillId="0" borderId="0" xfId="0" applyNumberFormat="1" applyFont="1" applyAlignment="1">
      <alignment horizontal="left"/>
    </xf>
    <xf numFmtId="0" fontId="0" fillId="0" borderId="0" xfId="0" quotePrefix="1" applyProtection="1">
      <protection hidden="1"/>
    </xf>
    <xf numFmtId="0" fontId="3" fillId="0" borderId="5" xfId="0" applyFont="1" applyBorder="1" applyAlignment="1" applyProtection="1">
      <alignment horizontal="center"/>
      <protection locked="0"/>
    </xf>
    <xf numFmtId="0" fontId="0" fillId="0" borderId="5" xfId="0" applyBorder="1" applyAlignment="1" applyProtection="1">
      <alignment horizontal="center"/>
      <protection locked="0"/>
    </xf>
    <xf numFmtId="0" fontId="28" fillId="0" borderId="0" xfId="0" applyFont="1" applyAlignment="1" applyProtection="1">
      <alignment horizontal="right"/>
      <protection hidden="1"/>
    </xf>
    <xf numFmtId="8" fontId="29" fillId="0" borderId="0" xfId="0" applyNumberFormat="1" applyFont="1" applyAlignment="1" applyProtection="1">
      <alignment horizontal="right"/>
      <protection hidden="1"/>
    </xf>
    <xf numFmtId="0" fontId="27" fillId="4" borderId="0" xfId="0" applyFont="1" applyFill="1" applyAlignment="1" applyProtection="1">
      <alignment horizontal="center"/>
      <protection locked="0"/>
    </xf>
    <xf numFmtId="0" fontId="62" fillId="0" borderId="0" xfId="0" applyFont="1" applyAlignment="1" applyProtection="1">
      <alignment horizontal="right"/>
      <protection hidden="1"/>
    </xf>
    <xf numFmtId="0" fontId="29" fillId="0" borderId="2" xfId="0" applyFont="1" applyBorder="1" applyAlignment="1" applyProtection="1">
      <alignment horizontal="center"/>
      <protection hidden="1"/>
    </xf>
    <xf numFmtId="0" fontId="22" fillId="0" borderId="0" xfId="0" applyFont="1" applyAlignment="1" applyProtection="1">
      <alignment horizontal="left"/>
      <protection hidden="1"/>
    </xf>
    <xf numFmtId="0" fontId="34" fillId="0" borderId="0" xfId="0" quotePrefix="1" applyFont="1" applyAlignment="1" applyProtection="1">
      <alignment horizontal="left"/>
      <protection hidden="1"/>
    </xf>
    <xf numFmtId="0" fontId="20" fillId="0" borderId="5" xfId="0" applyFont="1" applyBorder="1" applyAlignment="1" applyProtection="1">
      <alignment horizontal="left"/>
      <protection locked="0"/>
    </xf>
    <xf numFmtId="0" fontId="20" fillId="0" borderId="10" xfId="0" applyFont="1" applyBorder="1" applyAlignment="1" applyProtection="1">
      <alignment horizontal="center"/>
      <protection locked="0"/>
    </xf>
    <xf numFmtId="0" fontId="76" fillId="0" borderId="6" xfId="0" applyFont="1" applyBorder="1" applyAlignment="1">
      <alignment horizontal="left"/>
    </xf>
    <xf numFmtId="0" fontId="51" fillId="0" borderId="21" xfId="0" applyFont="1" applyBorder="1" applyAlignment="1">
      <alignment horizontal="left"/>
    </xf>
    <xf numFmtId="0" fontId="51" fillId="0" borderId="2" xfId="0" applyFont="1" applyBorder="1" applyAlignment="1">
      <alignment horizontal="left"/>
    </xf>
    <xf numFmtId="0" fontId="51" fillId="0" borderId="22" xfId="0" applyFont="1" applyBorder="1" applyAlignment="1">
      <alignment horizontal="left"/>
    </xf>
    <xf numFmtId="0" fontId="51" fillId="0" borderId="19" xfId="0" applyFont="1" applyBorder="1" applyAlignment="1">
      <alignment horizontal="left"/>
    </xf>
    <xf numFmtId="0" fontId="51" fillId="0" borderId="1" xfId="0" applyFont="1" applyBorder="1" applyAlignment="1">
      <alignment horizontal="left"/>
    </xf>
    <xf numFmtId="0" fontId="51" fillId="0" borderId="4" xfId="0" applyFont="1" applyBorder="1" applyAlignment="1">
      <alignment horizontal="left"/>
    </xf>
    <xf numFmtId="0" fontId="76" fillId="0" borderId="24" xfId="0" applyFont="1" applyBorder="1" applyAlignment="1">
      <alignment horizontal="center" vertical="center"/>
    </xf>
    <xf numFmtId="0" fontId="76" fillId="0" borderId="21" xfId="0" applyFont="1" applyBorder="1" applyAlignment="1">
      <alignment horizontal="right"/>
    </xf>
    <xf numFmtId="0" fontId="76" fillId="0" borderId="2" xfId="0" applyFont="1" applyBorder="1" applyAlignment="1">
      <alignment horizontal="right"/>
    </xf>
    <xf numFmtId="0" fontId="76" fillId="0" borderId="22" xfId="0" applyFont="1" applyBorder="1" applyAlignment="1">
      <alignment horizontal="right"/>
    </xf>
    <xf numFmtId="0" fontId="51" fillId="0" borderId="6" xfId="0" applyFont="1" applyBorder="1" applyAlignment="1">
      <alignment horizontal="center"/>
    </xf>
    <xf numFmtId="0" fontId="51" fillId="0" borderId="3" xfId="0" applyFont="1" applyBorder="1" applyAlignment="1">
      <alignment horizontal="center"/>
    </xf>
    <xf numFmtId="0" fontId="51" fillId="0" borderId="7" xfId="0" applyFont="1" applyBorder="1" applyAlignment="1">
      <alignment horizontal="center"/>
    </xf>
    <xf numFmtId="0" fontId="76" fillId="0" borderId="6" xfId="0" applyFont="1" applyBorder="1" applyAlignment="1">
      <alignment horizontal="right"/>
    </xf>
    <xf numFmtId="0" fontId="76" fillId="0" borderId="3" xfId="0" applyFont="1" applyBorder="1" applyAlignment="1">
      <alignment horizontal="right"/>
    </xf>
    <xf numFmtId="0" fontId="76" fillId="0" borderId="7" xfId="0" applyFont="1" applyBorder="1" applyAlignment="1">
      <alignment horizontal="right"/>
    </xf>
    <xf numFmtId="0" fontId="51" fillId="0" borderId="21" xfId="0" applyFont="1" applyBorder="1" applyAlignment="1">
      <alignment horizontal="center"/>
    </xf>
    <xf numFmtId="0" fontId="51" fillId="0" borderId="2" xfId="0" applyFont="1" applyBorder="1" applyAlignment="1">
      <alignment horizontal="center"/>
    </xf>
    <xf numFmtId="0" fontId="51" fillId="0" borderId="22" xfId="0" applyFont="1" applyBorder="1" applyAlignment="1">
      <alignment horizontal="center"/>
    </xf>
    <xf numFmtId="0" fontId="51" fillId="0" borderId="19" xfId="0" applyFont="1" applyBorder="1" applyAlignment="1">
      <alignment horizontal="center"/>
    </xf>
    <xf numFmtId="0" fontId="51" fillId="0" borderId="1" xfId="0" applyFont="1" applyBorder="1" applyAlignment="1">
      <alignment horizontal="center"/>
    </xf>
    <xf numFmtId="0" fontId="51" fillId="0" borderId="4" xfId="0" applyFont="1" applyBorder="1" applyAlignment="1">
      <alignment horizontal="center"/>
    </xf>
    <xf numFmtId="0" fontId="76" fillId="0" borderId="23" xfId="0" applyFont="1" applyBorder="1" applyAlignment="1">
      <alignment horizontal="center"/>
    </xf>
    <xf numFmtId="0" fontId="76" fillId="0" borderId="25" xfId="0" applyFont="1" applyBorder="1" applyAlignment="1">
      <alignment horizontal="center"/>
    </xf>
    <xf numFmtId="8" fontId="76" fillId="0" borderId="25" xfId="0" applyNumberFormat="1" applyFont="1" applyBorder="1" applyAlignment="1">
      <alignment horizontal="center" vertical="top"/>
    </xf>
    <xf numFmtId="0" fontId="76" fillId="0" borderId="25" xfId="0" applyFont="1" applyBorder="1" applyAlignment="1">
      <alignment horizontal="center" vertical="top"/>
    </xf>
    <xf numFmtId="0" fontId="76" fillId="0" borderId="24" xfId="0" applyFont="1" applyBorder="1" applyAlignment="1">
      <alignment horizontal="center" vertical="top"/>
    </xf>
    <xf numFmtId="0" fontId="51" fillId="0" borderId="6" xfId="0" applyFont="1" applyBorder="1"/>
    <xf numFmtId="0" fontId="51" fillId="0" borderId="3" xfId="0" applyFont="1" applyBorder="1"/>
    <xf numFmtId="0" fontId="51" fillId="0" borderId="7" xfId="0" applyFont="1" applyBorder="1"/>
    <xf numFmtId="0" fontId="51" fillId="0" borderId="25" xfId="0" applyFont="1" applyBorder="1" applyAlignment="1">
      <alignment horizontal="center"/>
    </xf>
    <xf numFmtId="0" fontId="76" fillId="0" borderId="8" xfId="0" applyFont="1" applyBorder="1" applyAlignment="1">
      <alignment horizontal="left"/>
    </xf>
    <xf numFmtId="0" fontId="3" fillId="0" borderId="48" xfId="0" applyFont="1" applyBorder="1" applyAlignment="1" applyProtection="1">
      <alignment horizontal="right"/>
      <protection hidden="1"/>
    </xf>
    <xf numFmtId="0" fontId="3" fillId="0" borderId="26" xfId="0" applyFont="1" applyBorder="1" applyAlignment="1" applyProtection="1">
      <alignment horizontal="right"/>
      <protection hidden="1"/>
    </xf>
    <xf numFmtId="0" fontId="3" fillId="0" borderId="28" xfId="0" applyFont="1" applyBorder="1" applyAlignment="1">
      <alignment horizontal="center"/>
    </xf>
    <xf numFmtId="0" fontId="3" fillId="0" borderId="30" xfId="0" applyFont="1" applyBorder="1" applyAlignment="1">
      <alignment horizontal="center"/>
    </xf>
    <xf numFmtId="0" fontId="3" fillId="0" borderId="44" xfId="0" applyFont="1" applyBorder="1" applyAlignment="1">
      <alignment horizontal="center"/>
    </xf>
    <xf numFmtId="0" fontId="70" fillId="0" borderId="8" xfId="0" applyFont="1" applyBorder="1" applyAlignment="1" applyProtection="1">
      <alignment horizontal="center"/>
      <protection hidden="1"/>
    </xf>
    <xf numFmtId="0" fontId="3" fillId="0" borderId="27" xfId="0" applyFont="1" applyBorder="1" applyAlignment="1" applyProtection="1">
      <alignment horizontal="right"/>
      <protection hidden="1"/>
    </xf>
    <xf numFmtId="0" fontId="3" fillId="0" borderId="3" xfId="0" applyFont="1" applyBorder="1" applyAlignment="1" applyProtection="1">
      <alignment horizontal="right"/>
      <protection hidden="1"/>
    </xf>
    <xf numFmtId="0" fontId="3" fillId="0" borderId="7" xfId="0" applyFont="1" applyBorder="1" applyAlignment="1" applyProtection="1">
      <alignment horizontal="right"/>
      <protection hidden="1"/>
    </xf>
    <xf numFmtId="0" fontId="3" fillId="0" borderId="28" xfId="0" applyFont="1" applyBorder="1" applyAlignment="1" applyProtection="1">
      <alignment horizontal="right"/>
      <protection hidden="1"/>
    </xf>
    <xf numFmtId="0" fontId="3" fillId="0" borderId="30" xfId="0" applyFont="1" applyBorder="1" applyAlignment="1" applyProtection="1">
      <alignment horizontal="right"/>
      <protection hidden="1"/>
    </xf>
    <xf numFmtId="0" fontId="3" fillId="0" borderId="31" xfId="0" applyFont="1" applyBorder="1" applyAlignment="1" applyProtection="1">
      <alignment horizontal="right"/>
      <protection hidden="1"/>
    </xf>
    <xf numFmtId="0" fontId="3" fillId="0" borderId="34" xfId="0" applyFont="1" applyBorder="1" applyAlignment="1" applyProtection="1">
      <alignment horizontal="right"/>
      <protection hidden="1"/>
    </xf>
    <xf numFmtId="0" fontId="3" fillId="0" borderId="35" xfId="0" applyFont="1" applyBorder="1" applyAlignment="1" applyProtection="1">
      <alignment horizontal="right"/>
      <protection hidden="1"/>
    </xf>
    <xf numFmtId="0" fontId="3" fillId="0" borderId="36" xfId="0" applyFont="1" applyBorder="1" applyAlignment="1" applyProtection="1">
      <alignment horizontal="right"/>
      <protection hidden="1"/>
    </xf>
    <xf numFmtId="0" fontId="3" fillId="0" borderId="47" xfId="0" applyFont="1" applyBorder="1" applyAlignment="1" applyProtection="1">
      <alignment horizontal="right"/>
      <protection hidden="1"/>
    </xf>
    <xf numFmtId="8" fontId="6" fillId="0" borderId="0" xfId="0" applyNumberFormat="1" applyFont="1" applyAlignment="1" applyProtection="1">
      <alignment horizontal="right"/>
      <protection hidden="1"/>
    </xf>
    <xf numFmtId="0" fontId="7" fillId="0" borderId="0" xfId="0" quotePrefix="1" applyFont="1" applyAlignment="1" applyProtection="1">
      <alignment horizontal="left"/>
      <protection hidden="1"/>
    </xf>
    <xf numFmtId="0" fontId="16" fillId="0" borderId="0" xfId="0" applyFont="1" applyAlignment="1" applyProtection="1">
      <alignment horizontal="center"/>
      <protection locked="0"/>
    </xf>
    <xf numFmtId="0" fontId="48" fillId="0" borderId="0" xfId="0" applyFont="1" applyAlignment="1">
      <alignment horizontal="center" vertical="center"/>
    </xf>
    <xf numFmtId="0" fontId="54" fillId="0" borderId="0" xfId="0" applyFont="1" applyAlignment="1">
      <alignment horizontal="left"/>
    </xf>
    <xf numFmtId="0" fontId="44" fillId="0" borderId="0" xfId="1" applyFont="1" applyBorder="1" applyAlignment="1" applyProtection="1">
      <alignment horizontal="center"/>
      <protection locked="0"/>
    </xf>
    <xf numFmtId="0" fontId="3" fillId="0" borderId="10" xfId="0" applyFont="1" applyBorder="1" applyAlignment="1" applyProtection="1">
      <alignment horizontal="left"/>
      <protection locked="0"/>
    </xf>
    <xf numFmtId="0" fontId="0" fillId="0" borderId="10" xfId="0" applyBorder="1" applyAlignment="1" applyProtection="1">
      <alignment horizontal="left"/>
      <protection locked="0"/>
    </xf>
    <xf numFmtId="0" fontId="53" fillId="0" borderId="0" xfId="0" applyFont="1" applyAlignment="1">
      <alignment horizontal="center"/>
    </xf>
    <xf numFmtId="0" fontId="3" fillId="0" borderId="5" xfId="0" applyFont="1" applyBorder="1" applyAlignment="1" applyProtection="1">
      <alignment horizontal="left"/>
      <protection locked="0"/>
    </xf>
    <xf numFmtId="0" fontId="0" fillId="0" borderId="5" xfId="0" applyBorder="1" applyAlignment="1" applyProtection="1">
      <alignment horizontal="left"/>
      <protection locked="0"/>
    </xf>
    <xf numFmtId="0" fontId="16" fillId="0" borderId="5" xfId="0" applyFont="1" applyBorder="1" applyAlignment="1" applyProtection="1">
      <alignment horizontal="center"/>
      <protection hidden="1"/>
    </xf>
    <xf numFmtId="14" fontId="16" fillId="0" borderId="5" xfId="0" applyNumberFormat="1" applyFont="1" applyBorder="1" applyAlignment="1" applyProtection="1">
      <alignment horizontal="center"/>
      <protection locked="0"/>
    </xf>
    <xf numFmtId="0" fontId="16" fillId="0" borderId="21" xfId="0" applyFont="1" applyBorder="1" applyAlignment="1" applyProtection="1">
      <alignment horizontal="center" vertical="center" wrapText="1"/>
      <protection hidden="1"/>
    </xf>
    <xf numFmtId="0" fontId="16" fillId="0" borderId="2" xfId="0" applyFont="1" applyBorder="1" applyAlignment="1" applyProtection="1">
      <alignment horizontal="center" vertical="center" wrapText="1"/>
      <protection hidden="1"/>
    </xf>
    <xf numFmtId="0" fontId="16" fillId="0" borderId="22" xfId="0" applyFont="1" applyBorder="1" applyAlignment="1" applyProtection="1">
      <alignment horizontal="center" vertical="center" wrapText="1"/>
      <protection hidden="1"/>
    </xf>
    <xf numFmtId="0" fontId="16" fillId="0" borderId="18" xfId="0" applyFont="1" applyBorder="1" applyAlignment="1" applyProtection="1">
      <alignment horizontal="center" vertical="center" wrapText="1"/>
      <protection hidden="1"/>
    </xf>
    <xf numFmtId="0" fontId="16" fillId="0" borderId="0" xfId="0" applyFont="1" applyAlignment="1" applyProtection="1">
      <alignment horizontal="center" vertical="center" wrapText="1"/>
      <protection hidden="1"/>
    </xf>
    <xf numFmtId="0" fontId="16" fillId="0" borderId="12" xfId="0" applyFont="1" applyBorder="1" applyAlignment="1" applyProtection="1">
      <alignment horizontal="center" vertical="center" wrapText="1"/>
      <protection hidden="1"/>
    </xf>
    <xf numFmtId="0" fontId="16" fillId="0" borderId="19" xfId="0" applyFont="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0" fontId="16" fillId="0" borderId="4" xfId="0" applyFont="1" applyBorder="1" applyAlignment="1" applyProtection="1">
      <alignment horizontal="center" vertical="center" wrapText="1"/>
      <protection hidden="1"/>
    </xf>
    <xf numFmtId="0" fontId="3" fillId="6" borderId="25" xfId="0" applyFont="1" applyFill="1" applyBorder="1" applyAlignment="1" applyProtection="1">
      <alignment horizontal="center"/>
      <protection hidden="1"/>
    </xf>
    <xf numFmtId="0" fontId="0" fillId="6" borderId="25" xfId="0" applyFill="1" applyBorder="1" applyAlignment="1" applyProtection="1">
      <alignment horizontal="center"/>
      <protection hidden="1"/>
    </xf>
    <xf numFmtId="0" fontId="0" fillId="6" borderId="24" xfId="0" applyFill="1" applyBorder="1" applyAlignment="1" applyProtection="1">
      <alignment horizontal="center"/>
      <protection hidden="1"/>
    </xf>
    <xf numFmtId="0" fontId="37" fillId="0" borderId="0" xfId="0" applyFont="1" applyAlignment="1" applyProtection="1">
      <alignment horizontal="center"/>
      <protection hidden="1"/>
    </xf>
    <xf numFmtId="0" fontId="94" fillId="0" borderId="1" xfId="0" applyFont="1" applyBorder="1" applyAlignment="1" applyProtection="1">
      <alignment horizontal="center"/>
      <protection hidden="1"/>
    </xf>
    <xf numFmtId="0" fontId="28" fillId="0" borderId="1" xfId="0" applyFont="1" applyBorder="1" applyAlignment="1" applyProtection="1">
      <alignment horizontal="left"/>
      <protection hidden="1"/>
    </xf>
    <xf numFmtId="0" fontId="37" fillId="0" borderId="0" xfId="0" applyFont="1" applyAlignment="1" applyProtection="1">
      <alignment horizontal="left"/>
      <protection locked="0"/>
    </xf>
    <xf numFmtId="0" fontId="37" fillId="0" borderId="10" xfId="0" applyFont="1" applyBorder="1" applyAlignment="1" applyProtection="1">
      <alignment horizontal="left"/>
      <protection locked="0"/>
    </xf>
    <xf numFmtId="0" fontId="37" fillId="0" borderId="5" xfId="0" applyFont="1" applyBorder="1" applyAlignment="1" applyProtection="1">
      <alignment horizontal="left"/>
      <protection locked="0"/>
    </xf>
    <xf numFmtId="0" fontId="37" fillId="0" borderId="10" xfId="0" applyFont="1" applyBorder="1" applyAlignment="1" applyProtection="1">
      <alignment horizontal="center"/>
      <protection locked="0"/>
    </xf>
    <xf numFmtId="0" fontId="95" fillId="0" borderId="3" xfId="0" applyFont="1" applyBorder="1" applyAlignment="1" applyProtection="1">
      <alignment horizontal="right"/>
      <protection hidden="1"/>
    </xf>
    <xf numFmtId="16" fontId="37" fillId="0" borderId="10" xfId="0" applyNumberFormat="1" applyFont="1" applyBorder="1" applyAlignment="1" applyProtection="1">
      <alignment horizontal="left"/>
      <protection locked="0"/>
    </xf>
    <xf numFmtId="0" fontId="93" fillId="4" borderId="6" xfId="0" applyFont="1" applyFill="1" applyBorder="1" applyAlignment="1" applyProtection="1">
      <alignment horizontal="center" vertical="center"/>
      <protection hidden="1"/>
    </xf>
    <xf numFmtId="0" fontId="93" fillId="4" borderId="7" xfId="0" applyFont="1" applyFill="1" applyBorder="1" applyAlignment="1" applyProtection="1">
      <alignment horizontal="center" vertical="center"/>
      <protection hidden="1"/>
    </xf>
    <xf numFmtId="0" fontId="16" fillId="4" borderId="61" xfId="0" applyFont="1" applyFill="1" applyBorder="1" applyAlignment="1" applyProtection="1">
      <alignment horizontal="center"/>
      <protection locked="0"/>
    </xf>
    <xf numFmtId="0" fontId="16" fillId="4" borderId="62" xfId="0" applyFont="1" applyFill="1" applyBorder="1" applyAlignment="1" applyProtection="1">
      <alignment horizontal="center"/>
      <protection locked="0"/>
    </xf>
    <xf numFmtId="0" fontId="88" fillId="0" borderId="0" xfId="1" applyFont="1" applyFill="1" applyAlignment="1" applyProtection="1">
      <alignment horizontal="left"/>
      <protection hidden="1"/>
    </xf>
    <xf numFmtId="0" fontId="19" fillId="0" borderId="0" xfId="0" applyFont="1" applyAlignment="1" applyProtection="1">
      <alignment horizontal="center"/>
      <protection hidden="1"/>
    </xf>
    <xf numFmtId="0" fontId="89" fillId="0" borderId="0" xfId="0" applyFont="1" applyAlignment="1" applyProtection="1">
      <alignment horizontal="center"/>
      <protection hidden="1"/>
    </xf>
    <xf numFmtId="0" fontId="51" fillId="14" borderId="21" xfId="0" applyFont="1" applyFill="1" applyBorder="1" applyAlignment="1" applyProtection="1">
      <alignment horizontal="center"/>
      <protection hidden="1"/>
    </xf>
    <xf numFmtId="0" fontId="51" fillId="14" borderId="22" xfId="0" applyFont="1" applyFill="1" applyBorder="1" applyAlignment="1" applyProtection="1">
      <alignment horizontal="center"/>
      <protection hidden="1"/>
    </xf>
    <xf numFmtId="164" fontId="91" fillId="0" borderId="23" xfId="0" applyNumberFormat="1" applyFont="1" applyBorder="1" applyAlignment="1" applyProtection="1">
      <alignment horizontal="center" vertical="center"/>
      <protection hidden="1"/>
    </xf>
    <xf numFmtId="164" fontId="91" fillId="0" borderId="24" xfId="0" applyNumberFormat="1" applyFont="1" applyBorder="1" applyAlignment="1" applyProtection="1">
      <alignment horizontal="center" vertical="center"/>
      <protection hidden="1"/>
    </xf>
    <xf numFmtId="0" fontId="45" fillId="4" borderId="49" xfId="0" applyFont="1" applyFill="1" applyBorder="1" applyAlignment="1" applyProtection="1">
      <alignment horizontal="center"/>
      <protection locked="0"/>
    </xf>
    <xf numFmtId="0" fontId="45" fillId="4" borderId="51" xfId="0" applyFont="1" applyFill="1" applyBorder="1" applyAlignment="1" applyProtection="1">
      <alignment horizontal="center"/>
      <protection locked="0"/>
    </xf>
    <xf numFmtId="0" fontId="37" fillId="0" borderId="1" xfId="0" applyFont="1" applyBorder="1" applyAlignment="1" applyProtection="1">
      <alignment horizontal="center"/>
      <protection hidden="1"/>
    </xf>
    <xf numFmtId="0" fontId="86" fillId="0" borderId="18" xfId="1" applyFont="1" applyBorder="1" applyAlignment="1" applyProtection="1">
      <alignment horizontal="center"/>
      <protection hidden="1"/>
    </xf>
    <xf numFmtId="0" fontId="86" fillId="0" borderId="0" xfId="1" applyFont="1" applyBorder="1" applyAlignment="1" applyProtection="1">
      <alignment horizontal="center"/>
      <protection hidden="1"/>
    </xf>
    <xf numFmtId="0" fontId="85" fillId="4" borderId="6" xfId="0" applyFont="1" applyFill="1" applyBorder="1" applyAlignment="1" applyProtection="1">
      <alignment horizontal="center"/>
      <protection hidden="1"/>
    </xf>
    <xf numFmtId="0" fontId="85" fillId="4" borderId="3" xfId="0" applyFont="1" applyFill="1" applyBorder="1" applyAlignment="1" applyProtection="1">
      <alignment horizontal="center"/>
      <protection hidden="1"/>
    </xf>
    <xf numFmtId="0" fontId="85" fillId="4" borderId="7" xfId="0" applyFont="1" applyFill="1" applyBorder="1" applyAlignment="1" applyProtection="1">
      <alignment horizontal="center"/>
      <protection hidden="1"/>
    </xf>
    <xf numFmtId="0" fontId="37" fillId="12" borderId="0" xfId="0" applyFont="1" applyFill="1" applyAlignment="1" applyProtection="1">
      <alignment horizontal="center"/>
      <protection locked="0"/>
    </xf>
    <xf numFmtId="0" fontId="37" fillId="12" borderId="12" xfId="0" applyFont="1" applyFill="1" applyBorder="1" applyAlignment="1" applyProtection="1">
      <alignment horizontal="center"/>
      <protection locked="0"/>
    </xf>
    <xf numFmtId="49" fontId="3" fillId="0" borderId="6" xfId="0" applyNumberFormat="1" applyFon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7" xfId="0" applyNumberFormat="1" applyBorder="1" applyAlignment="1" applyProtection="1">
      <alignment horizontal="center"/>
      <protection locked="0"/>
    </xf>
    <xf numFmtId="0" fontId="27" fillId="0" borderId="18" xfId="0" applyFont="1" applyBorder="1" applyAlignment="1" applyProtection="1">
      <alignment horizontal="center"/>
      <protection hidden="1"/>
    </xf>
    <xf numFmtId="0" fontId="27" fillId="0" borderId="12" xfId="0" applyFont="1" applyBorder="1" applyAlignment="1" applyProtection="1">
      <alignment horizontal="center"/>
      <protection hidden="1"/>
    </xf>
    <xf numFmtId="1" fontId="94" fillId="0" borderId="6" xfId="0" applyNumberFormat="1" applyFont="1" applyBorder="1" applyAlignment="1" applyProtection="1">
      <alignment horizontal="center"/>
      <protection hidden="1"/>
    </xf>
    <xf numFmtId="1" fontId="94" fillId="0" borderId="7" xfId="0" applyNumberFormat="1" applyFont="1" applyBorder="1" applyAlignment="1" applyProtection="1">
      <alignment horizontal="center"/>
      <protection hidden="1"/>
    </xf>
    <xf numFmtId="0" fontId="28" fillId="4" borderId="8" xfId="0" applyFont="1" applyFill="1" applyBorder="1" applyAlignment="1" applyProtection="1">
      <alignment horizontal="center"/>
      <protection hidden="1"/>
    </xf>
    <xf numFmtId="0" fontId="85" fillId="0" borderId="0" xfId="0" applyFont="1" applyAlignment="1" applyProtection="1">
      <alignment horizontal="right"/>
      <protection hidden="1"/>
    </xf>
    <xf numFmtId="0" fontId="16" fillId="4" borderId="49" xfId="0" applyFont="1" applyFill="1" applyBorder="1" applyAlignment="1" applyProtection="1">
      <alignment horizontal="center" vertical="center"/>
      <protection locked="0"/>
    </xf>
    <xf numFmtId="0" fontId="16" fillId="4" borderId="51" xfId="0" applyFont="1" applyFill="1" applyBorder="1" applyAlignment="1" applyProtection="1">
      <alignment horizontal="center" vertical="center"/>
      <protection locked="0"/>
    </xf>
    <xf numFmtId="0" fontId="96" fillId="0" borderId="0" xfId="0" applyFont="1" applyAlignment="1" applyProtection="1">
      <alignment horizontal="right"/>
      <protection hidden="1"/>
    </xf>
    <xf numFmtId="0" fontId="97" fillId="0" borderId="0" xfId="0" applyFont="1" applyAlignment="1" applyProtection="1">
      <alignment horizontal="right"/>
      <protection hidden="1"/>
    </xf>
    <xf numFmtId="0" fontId="53" fillId="0" borderId="0" xfId="0" applyFont="1" applyAlignment="1" applyProtection="1">
      <alignment horizontal="right"/>
      <protection hidden="1"/>
    </xf>
    <xf numFmtId="164" fontId="6" fillId="4" borderId="23" xfId="0" applyNumberFormat="1" applyFont="1" applyFill="1" applyBorder="1" applyAlignment="1" applyProtection="1">
      <alignment horizontal="center" vertical="center" wrapText="1"/>
      <protection hidden="1"/>
    </xf>
    <xf numFmtId="164" fontId="6" fillId="4" borderId="24" xfId="0" applyNumberFormat="1" applyFont="1" applyFill="1" applyBorder="1" applyAlignment="1" applyProtection="1">
      <alignment horizontal="center" vertical="center" wrapText="1"/>
      <protection hidden="1"/>
    </xf>
    <xf numFmtId="1" fontId="85" fillId="0" borderId="3" xfId="0" applyNumberFormat="1" applyFont="1" applyBorder="1" applyAlignment="1" applyProtection="1">
      <alignment horizontal="right"/>
      <protection hidden="1"/>
    </xf>
    <xf numFmtId="1" fontId="101" fillId="4" borderId="27" xfId="0" applyNumberFormat="1" applyFont="1" applyFill="1" applyBorder="1" applyAlignment="1" applyProtection="1">
      <alignment horizontal="center" vertical="center" wrapText="1"/>
      <protection locked="0"/>
    </xf>
    <xf numFmtId="1" fontId="101" fillId="4" borderId="7" xfId="0" applyNumberFormat="1" applyFont="1" applyFill="1" applyBorder="1" applyAlignment="1" applyProtection="1">
      <alignment horizontal="center" vertical="center" wrapText="1"/>
      <protection locked="0"/>
    </xf>
    <xf numFmtId="0" fontId="93" fillId="4" borderId="21" xfId="0" applyFont="1" applyFill="1" applyBorder="1" applyAlignment="1" applyProtection="1">
      <alignment horizontal="center" vertical="top" wrapText="1"/>
      <protection hidden="1"/>
    </xf>
    <xf numFmtId="0" fontId="93" fillId="4" borderId="22" xfId="0" applyFont="1" applyFill="1" applyBorder="1" applyAlignment="1" applyProtection="1">
      <alignment horizontal="center" vertical="top" wrapText="1"/>
      <protection hidden="1"/>
    </xf>
    <xf numFmtId="0" fontId="93" fillId="4" borderId="19" xfId="0" applyFont="1" applyFill="1" applyBorder="1" applyAlignment="1" applyProtection="1">
      <alignment horizontal="center" vertical="top" wrapText="1"/>
      <protection hidden="1"/>
    </xf>
    <xf numFmtId="0" fontId="93" fillId="4" borderId="4" xfId="0" applyFont="1" applyFill="1" applyBorder="1" applyAlignment="1" applyProtection="1">
      <alignment horizontal="center" vertical="top" wrapText="1"/>
      <protection hidden="1"/>
    </xf>
    <xf numFmtId="172" fontId="0" fillId="0" borderId="6" xfId="0" applyNumberFormat="1" applyBorder="1" applyAlignment="1" applyProtection="1">
      <alignment horizontal="center"/>
      <protection locked="0"/>
    </xf>
    <xf numFmtId="172" fontId="0" fillId="0" borderId="7" xfId="0" applyNumberFormat="1" applyBorder="1" applyAlignment="1" applyProtection="1">
      <alignment horizontal="center"/>
      <protection locked="0"/>
    </xf>
    <xf numFmtId="20" fontId="16" fillId="13" borderId="6" xfId="0" applyNumberFormat="1" applyFont="1" applyFill="1" applyBorder="1" applyAlignment="1" applyProtection="1">
      <alignment horizontal="center"/>
      <protection hidden="1"/>
    </xf>
    <xf numFmtId="20" fontId="16" fillId="13" borderId="42" xfId="0" applyNumberFormat="1" applyFont="1" applyFill="1" applyBorder="1" applyAlignment="1" applyProtection="1">
      <alignment horizontal="center"/>
      <protection hidden="1"/>
    </xf>
    <xf numFmtId="0" fontId="0" fillId="0" borderId="8" xfId="0" applyBorder="1" applyAlignment="1" applyProtection="1">
      <alignment horizontal="center"/>
      <protection hidden="1"/>
    </xf>
    <xf numFmtId="0" fontId="0" fillId="0" borderId="33" xfId="0" applyBorder="1" applyAlignment="1" applyProtection="1">
      <alignment horizontal="center"/>
      <protection hidden="1"/>
    </xf>
    <xf numFmtId="0" fontId="3" fillId="0" borderId="8" xfId="0" applyFont="1" applyBorder="1" applyAlignment="1" applyProtection="1">
      <alignment horizontal="center"/>
      <protection hidden="1"/>
    </xf>
    <xf numFmtId="0" fontId="16" fillId="2" borderId="6" xfId="0" applyFont="1" applyFill="1" applyBorder="1" applyAlignment="1" applyProtection="1">
      <alignment horizontal="center"/>
      <protection hidden="1"/>
    </xf>
    <xf numFmtId="0" fontId="16" fillId="2" borderId="3" xfId="0" applyFont="1" applyFill="1" applyBorder="1" applyAlignment="1" applyProtection="1">
      <alignment horizontal="center"/>
      <protection hidden="1"/>
    </xf>
    <xf numFmtId="0" fontId="16" fillId="2" borderId="7" xfId="0" applyFont="1" applyFill="1" applyBorder="1" applyAlignment="1" applyProtection="1">
      <alignment horizontal="center"/>
      <protection hidden="1"/>
    </xf>
    <xf numFmtId="0" fontId="0" fillId="0" borderId="2"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7" xfId="0" applyBorder="1" applyAlignment="1" applyProtection="1">
      <alignment horizontal="center"/>
      <protection hidden="1"/>
    </xf>
    <xf numFmtId="0" fontId="37" fillId="0" borderId="2" xfId="0" applyFont="1" applyBorder="1" applyAlignment="1" applyProtection="1">
      <alignment horizontal="center"/>
      <protection hidden="1"/>
    </xf>
    <xf numFmtId="0" fontId="0" fillId="0" borderId="6" xfId="0" applyBorder="1" applyAlignment="1" applyProtection="1">
      <alignment horizontal="left"/>
      <protection hidden="1"/>
    </xf>
    <xf numFmtId="0" fontId="0" fillId="0" borderId="7" xfId="0" applyBorder="1" applyAlignment="1" applyProtection="1">
      <alignment horizontal="left"/>
      <protection hidden="1"/>
    </xf>
    <xf numFmtId="0" fontId="37" fillId="12" borderId="21" xfId="0" applyFont="1" applyFill="1" applyBorder="1" applyAlignment="1" applyProtection="1">
      <alignment horizontal="center" vertical="center"/>
      <protection locked="0"/>
    </xf>
    <xf numFmtId="0" fontId="37" fillId="12" borderId="22" xfId="0" applyFont="1" applyFill="1" applyBorder="1" applyAlignment="1" applyProtection="1">
      <alignment horizontal="center" vertical="center"/>
      <protection locked="0"/>
    </xf>
    <xf numFmtId="0" fontId="37" fillId="12" borderId="19" xfId="0" applyFont="1" applyFill="1" applyBorder="1" applyAlignment="1" applyProtection="1">
      <alignment horizontal="center" vertical="center"/>
      <protection locked="0"/>
    </xf>
    <xf numFmtId="0" fontId="37" fillId="12" borderId="4" xfId="0" applyFont="1" applyFill="1" applyBorder="1" applyAlignment="1" applyProtection="1">
      <alignment horizontal="center" vertical="center"/>
      <protection locked="0"/>
    </xf>
    <xf numFmtId="0" fontId="16" fillId="13" borderId="3" xfId="0" applyFont="1" applyFill="1" applyBorder="1" applyAlignment="1" applyProtection="1">
      <alignment horizontal="center"/>
      <protection hidden="1"/>
    </xf>
    <xf numFmtId="0" fontId="16" fillId="13" borderId="7" xfId="0" applyFont="1" applyFill="1" applyBorder="1" applyAlignment="1" applyProtection="1">
      <alignment horizontal="center"/>
      <protection hidden="1"/>
    </xf>
    <xf numFmtId="0" fontId="12" fillId="0" borderId="0" xfId="0" applyFont="1" applyAlignment="1" applyProtection="1">
      <alignment horizontal="center"/>
      <protection hidden="1"/>
    </xf>
    <xf numFmtId="0" fontId="0" fillId="0" borderId="0" xfId="0" applyAlignment="1" applyProtection="1">
      <alignment horizontal="left"/>
      <protection hidden="1"/>
    </xf>
    <xf numFmtId="14" fontId="0" fillId="0" borderId="1" xfId="0" applyNumberFormat="1" applyBorder="1" applyAlignment="1" applyProtection="1">
      <alignment horizontal="center"/>
      <protection locked="0"/>
    </xf>
    <xf numFmtId="0" fontId="0" fillId="0" borderId="0" xfId="0" applyAlignment="1" applyProtection="1">
      <alignment horizontal="center"/>
      <protection hidden="1"/>
    </xf>
    <xf numFmtId="0" fontId="11" fillId="0" borderId="0" xfId="1" applyAlignment="1" applyProtection="1">
      <alignment horizontal="center"/>
      <protection locked="0"/>
    </xf>
    <xf numFmtId="0" fontId="11" fillId="0" borderId="0" xfId="1" quotePrefix="1" applyAlignment="1" applyProtection="1">
      <alignment horizontal="center"/>
      <protection locked="0"/>
    </xf>
    <xf numFmtId="0" fontId="43" fillId="0" borderId="49" xfId="1" applyFont="1" applyBorder="1" applyAlignment="1" applyProtection="1">
      <alignment horizontal="center" vertical="center"/>
      <protection locked="0"/>
    </xf>
    <xf numFmtId="0" fontId="43" fillId="0" borderId="50" xfId="1" applyFont="1" applyBorder="1" applyAlignment="1" applyProtection="1">
      <alignment horizontal="center" vertical="center"/>
      <protection locked="0"/>
    </xf>
    <xf numFmtId="0" fontId="43" fillId="0" borderId="51" xfId="1" applyFont="1" applyBorder="1" applyAlignment="1" applyProtection="1">
      <alignment horizontal="center" vertical="center"/>
      <protection locked="0"/>
    </xf>
    <xf numFmtId="0" fontId="16" fillId="16" borderId="21" xfId="0" quotePrefix="1" applyFont="1" applyFill="1" applyBorder="1" applyAlignment="1" applyProtection="1">
      <alignment horizontal="center" vertical="center"/>
      <protection locked="0"/>
    </xf>
    <xf numFmtId="0" fontId="16" fillId="16" borderId="2" xfId="0" quotePrefix="1" applyFont="1" applyFill="1" applyBorder="1" applyAlignment="1" applyProtection="1">
      <alignment horizontal="center" vertical="center"/>
      <protection locked="0"/>
    </xf>
    <xf numFmtId="0" fontId="16" fillId="16" borderId="22" xfId="0" quotePrefix="1" applyFont="1" applyFill="1" applyBorder="1" applyAlignment="1" applyProtection="1">
      <alignment horizontal="center" vertical="center"/>
      <protection locked="0"/>
    </xf>
    <xf numFmtId="0" fontId="11" fillId="16" borderId="19" xfId="1" applyFill="1" applyBorder="1" applyAlignment="1" applyProtection="1">
      <alignment horizontal="center" vertical="center"/>
      <protection locked="0"/>
    </xf>
    <xf numFmtId="0" fontId="11" fillId="16" borderId="1" xfId="1" quotePrefix="1" applyFill="1" applyBorder="1" applyAlignment="1" applyProtection="1">
      <alignment horizontal="center" vertical="center"/>
      <protection locked="0"/>
    </xf>
    <xf numFmtId="0" fontId="11" fillId="16" borderId="4" xfId="1" quotePrefix="1" applyFill="1" applyBorder="1" applyAlignment="1" applyProtection="1">
      <alignment horizontal="center" vertical="center"/>
      <protection locked="0"/>
    </xf>
    <xf numFmtId="0" fontId="19" fillId="0" borderId="6" xfId="0" quotePrefix="1" applyFont="1" applyBorder="1" applyAlignment="1">
      <alignment horizontal="left" vertical="center" indent="2"/>
    </xf>
    <xf numFmtId="0" fontId="19" fillId="0" borderId="3" xfId="0" applyFont="1" applyBorder="1" applyAlignment="1">
      <alignment horizontal="left" vertical="center" indent="2"/>
    </xf>
    <xf numFmtId="0" fontId="19" fillId="0" borderId="7" xfId="0" applyFont="1" applyBorder="1" applyAlignment="1">
      <alignment horizontal="left" vertical="center" indent="2"/>
    </xf>
    <xf numFmtId="0" fontId="16" fillId="16" borderId="6" xfId="0" applyFont="1" applyFill="1" applyBorder="1" applyAlignment="1">
      <alignment horizontal="center"/>
    </xf>
    <xf numFmtId="0" fontId="16" fillId="16" borderId="3" xfId="0" applyFont="1" applyFill="1" applyBorder="1" applyAlignment="1">
      <alignment horizontal="center"/>
    </xf>
    <xf numFmtId="0" fontId="16" fillId="16" borderId="7" xfId="0" applyFont="1" applyFill="1" applyBorder="1" applyAlignment="1">
      <alignment horizontal="center"/>
    </xf>
    <xf numFmtId="0" fontId="43" fillId="0" borderId="49" xfId="1" applyFont="1" applyBorder="1" applyAlignment="1" applyProtection="1">
      <alignment horizontal="center"/>
      <protection locked="0"/>
    </xf>
    <xf numFmtId="0" fontId="43" fillId="0" borderId="50" xfId="1" applyFont="1" applyBorder="1" applyAlignment="1" applyProtection="1">
      <alignment horizontal="center"/>
      <protection locked="0"/>
    </xf>
    <xf numFmtId="0" fontId="43" fillId="0" borderId="51" xfId="1" applyFont="1" applyBorder="1" applyAlignment="1" applyProtection="1">
      <alignment horizontal="center"/>
      <protection locked="0"/>
    </xf>
    <xf numFmtId="0" fontId="0" fillId="0" borderId="18" xfId="0" quotePrefix="1" applyBorder="1" applyAlignment="1">
      <alignment horizontal="left" vertical="center" indent="2"/>
    </xf>
    <xf numFmtId="0" fontId="0" fillId="0" borderId="0" xfId="0" quotePrefix="1" applyAlignment="1">
      <alignment horizontal="left" vertical="center" indent="2"/>
    </xf>
    <xf numFmtId="0" fontId="0" fillId="0" borderId="12" xfId="0" quotePrefix="1" applyBorder="1" applyAlignment="1">
      <alignment horizontal="left" vertical="center" indent="2"/>
    </xf>
    <xf numFmtId="0" fontId="11" fillId="0" borderId="19" xfId="1" applyBorder="1" applyAlignment="1" applyProtection="1">
      <alignment horizontal="center" vertical="center"/>
      <protection locked="0"/>
    </xf>
    <xf numFmtId="0" fontId="11" fillId="0" borderId="1" xfId="1" applyBorder="1" applyAlignment="1" applyProtection="1">
      <alignment horizontal="center" vertical="center"/>
      <protection locked="0"/>
    </xf>
    <xf numFmtId="0" fontId="11" fillId="0" borderId="4" xfId="1" applyBorder="1" applyAlignment="1" applyProtection="1">
      <alignment horizontal="center" vertical="center"/>
      <protection locked="0"/>
    </xf>
    <xf numFmtId="9" fontId="0" fillId="0" borderId="21" xfId="0" applyNumberFormat="1" applyBorder="1" applyAlignment="1">
      <alignment horizontal="center" vertical="center"/>
    </xf>
    <xf numFmtId="9" fontId="0" fillId="0" borderId="2" xfId="0" applyNumberFormat="1" applyBorder="1" applyAlignment="1">
      <alignment horizontal="center" vertical="center"/>
    </xf>
    <xf numFmtId="9" fontId="0" fillId="0" borderId="22" xfId="0" applyNumberFormat="1" applyBorder="1" applyAlignment="1">
      <alignment horizontal="center" vertical="center"/>
    </xf>
    <xf numFmtId="0" fontId="0" fillId="0" borderId="6" xfId="0" applyBorder="1" applyAlignment="1">
      <alignment horizontal="left" indent="2"/>
    </xf>
    <xf numFmtId="0" fontId="0" fillId="0" borderId="3" xfId="0" applyBorder="1" applyAlignment="1">
      <alignment horizontal="left" indent="2"/>
    </xf>
    <xf numFmtId="0" fontId="0" fillId="0" borderId="7" xfId="0" applyBorder="1" applyAlignment="1">
      <alignment horizontal="left" indent="2"/>
    </xf>
    <xf numFmtId="9" fontId="0" fillId="0" borderId="23" xfId="0" applyNumberFormat="1"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0" fontId="16" fillId="16" borderId="21" xfId="0" quotePrefix="1" applyFont="1" applyFill="1" applyBorder="1" applyAlignment="1">
      <alignment horizontal="center"/>
    </xf>
    <xf numFmtId="0" fontId="16" fillId="16" borderId="2" xfId="0" quotePrefix="1" applyFont="1" applyFill="1" applyBorder="1" applyAlignment="1">
      <alignment horizontal="center"/>
    </xf>
    <xf numFmtId="0" fontId="16" fillId="16" borderId="22" xfId="0" quotePrefix="1" applyFont="1" applyFill="1" applyBorder="1" applyAlignment="1">
      <alignment horizontal="center"/>
    </xf>
    <xf numFmtId="0" fontId="0" fillId="0" borderId="18" xfId="0" quotePrefix="1" applyBorder="1" applyAlignment="1">
      <alignment horizontal="left" indent="2"/>
    </xf>
    <xf numFmtId="0" fontId="0" fillId="0" borderId="0" xfId="0" quotePrefix="1" applyAlignment="1">
      <alignment horizontal="left" indent="2"/>
    </xf>
    <xf numFmtId="0" fontId="0" fillId="0" borderId="12" xfId="0" quotePrefix="1" applyBorder="1" applyAlignment="1">
      <alignment horizontal="left" indent="2"/>
    </xf>
    <xf numFmtId="0" fontId="19" fillId="0" borderId="3" xfId="0" applyFont="1" applyBorder="1" applyAlignment="1">
      <alignment horizontal="center"/>
    </xf>
    <xf numFmtId="0" fontId="19" fillId="0" borderId="3" xfId="0" quotePrefix="1" applyFont="1" applyBorder="1" applyAlignment="1">
      <alignment horizontal="center"/>
    </xf>
    <xf numFmtId="9" fontId="5" fillId="0" borderId="23" xfId="0" applyNumberFormat="1" applyFont="1" applyBorder="1" applyAlignment="1">
      <alignment horizontal="center" vertical="center"/>
    </xf>
    <xf numFmtId="9" fontId="5" fillId="0" borderId="25" xfId="0" applyNumberFormat="1" applyFont="1" applyBorder="1" applyAlignment="1">
      <alignment horizontal="center" vertical="center"/>
    </xf>
    <xf numFmtId="0" fontId="16" fillId="16" borderId="21" xfId="1" applyFont="1" applyFill="1" applyBorder="1" applyAlignment="1" applyProtection="1">
      <alignment horizontal="center"/>
      <protection locked="0"/>
    </xf>
    <xf numFmtId="0" fontId="16" fillId="16" borderId="2" xfId="1" quotePrefix="1" applyFont="1" applyFill="1" applyBorder="1" applyAlignment="1" applyProtection="1">
      <alignment horizontal="center"/>
      <protection locked="0"/>
    </xf>
    <xf numFmtId="0" fontId="16" fillId="16" borderId="22" xfId="1" quotePrefix="1" applyFont="1" applyFill="1" applyBorder="1" applyAlignment="1" applyProtection="1">
      <alignment horizontal="center"/>
      <protection locked="0"/>
    </xf>
    <xf numFmtId="0" fontId="0" fillId="0" borderId="0" xfId="0" applyAlignment="1">
      <alignment horizontal="left" vertical="center" indent="2"/>
    </xf>
    <xf numFmtId="0" fontId="0" fillId="0" borderId="12" xfId="0" applyBorder="1" applyAlignment="1">
      <alignment horizontal="left" vertical="center" indent="2"/>
    </xf>
    <xf numFmtId="0" fontId="161" fillId="4" borderId="24" xfId="0" applyFont="1" applyFill="1" applyBorder="1" applyAlignment="1" applyProtection="1">
      <alignment horizontal="center"/>
      <protection locked="0"/>
    </xf>
    <xf numFmtId="0" fontId="27" fillId="0" borderId="0" xfId="0" applyFont="1"/>
    <xf numFmtId="0" fontId="37" fillId="0" borderId="0" xfId="0" applyFont="1"/>
  </cellXfs>
  <cellStyles count="3">
    <cellStyle name="Hipervínculo" xfId="1" builtinId="8"/>
    <cellStyle name="Normal" xfId="0" builtinId="0"/>
    <cellStyle name="Normal 2" xfId="2" xr:uid="{00000000-0005-0000-0000-000002000000}"/>
  </cellStyles>
  <dxfs count="308">
    <dxf>
      <font>
        <b/>
        <i val="0"/>
        <color rgb="FF006600"/>
      </font>
    </dxf>
    <dxf>
      <font>
        <b/>
        <i val="0"/>
        <color rgb="FF990000"/>
      </font>
    </dxf>
    <dxf>
      <font>
        <b/>
        <i val="0"/>
        <color rgb="FF990000"/>
      </font>
    </dxf>
    <dxf>
      <font>
        <b/>
        <i val="0"/>
        <color rgb="FF000080"/>
      </font>
    </dxf>
    <dxf>
      <font>
        <b/>
        <i val="0"/>
        <color rgb="FF006600"/>
      </font>
    </dxf>
    <dxf>
      <font>
        <b/>
        <i val="0"/>
        <color rgb="FF000080"/>
      </font>
    </dxf>
    <dxf>
      <font>
        <b/>
        <i val="0"/>
        <color rgb="FF006600"/>
      </font>
    </dxf>
    <dxf>
      <font>
        <b/>
        <i val="0"/>
        <color rgb="FF000080"/>
      </font>
    </dxf>
    <dxf>
      <font>
        <b/>
        <i val="0"/>
        <color rgb="FF006600"/>
      </font>
    </dxf>
    <dxf>
      <font>
        <b/>
        <i val="0"/>
        <color rgb="FFC00000"/>
      </font>
      <fill>
        <patternFill>
          <bgColor rgb="FFFFFF00"/>
        </patternFill>
      </fill>
    </dxf>
    <dxf>
      <font>
        <b/>
        <i val="0"/>
      </font>
      <fill>
        <patternFill>
          <bgColor rgb="FFFFFF00"/>
        </patternFill>
      </fill>
    </dxf>
    <dxf>
      <font>
        <b/>
        <i val="0"/>
        <color theme="0"/>
      </font>
      <fill>
        <patternFill>
          <bgColor rgb="FF002060"/>
        </patternFill>
      </fill>
    </dxf>
    <dxf>
      <font>
        <b/>
        <i val="0"/>
        <color rgb="FF99000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00"/>
        </patternFill>
      </fill>
    </dxf>
    <dxf>
      <font>
        <b/>
        <i val="0"/>
        <color rgb="FF000099"/>
      </font>
    </dxf>
    <dxf>
      <font>
        <color rgb="FF000080"/>
      </font>
    </dxf>
    <dxf>
      <font>
        <b/>
        <i val="0"/>
        <color rgb="FFFF0000"/>
      </font>
      <fill>
        <patternFill>
          <bgColor rgb="FFFFFF66"/>
        </patternFill>
      </fill>
    </dxf>
    <dxf>
      <font>
        <b/>
        <i val="0"/>
        <color rgb="FFFF0000"/>
      </font>
      <fill>
        <patternFill>
          <bgColor rgb="FFFFFF66"/>
        </patternFill>
      </fill>
    </dxf>
    <dxf>
      <font>
        <b/>
        <i val="0"/>
        <color rgb="FFFF0000"/>
      </font>
      <fill>
        <patternFill>
          <bgColor rgb="FFFFFF66"/>
        </patternFill>
      </fill>
    </dxf>
    <dxf>
      <font>
        <b/>
        <i val="0"/>
        <color rgb="FFFF0000"/>
      </font>
      <fill>
        <patternFill>
          <bgColor rgb="FFFFFF66"/>
        </patternFill>
      </fill>
    </dxf>
    <dxf>
      <font>
        <b/>
        <i val="0"/>
        <strike/>
        <color theme="0"/>
      </font>
      <border>
        <left/>
        <right/>
        <top/>
        <bottom/>
        <vertical/>
        <horizontal/>
      </border>
    </dxf>
    <dxf>
      <font>
        <b/>
        <i val="0"/>
        <strike/>
        <color theme="0"/>
      </font>
      <border>
        <left/>
        <right/>
        <top/>
        <bottom/>
        <vertical/>
        <horizontal/>
      </border>
    </dxf>
    <dxf>
      <font>
        <b/>
        <i val="0"/>
        <strike/>
        <color theme="0"/>
      </font>
      <border>
        <left/>
        <right/>
        <top/>
        <bottom/>
        <vertical/>
        <horizontal/>
      </border>
    </dxf>
    <dxf>
      <font>
        <b/>
        <i val="0"/>
        <strike/>
        <color theme="0"/>
      </font>
    </dxf>
    <dxf>
      <font>
        <strike/>
        <color theme="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color theme="0"/>
      </font>
      <border>
        <left/>
        <right/>
        <top/>
        <bottom/>
        <vertical/>
        <horizontal/>
      </border>
    </dxf>
    <dxf>
      <font>
        <b/>
        <i val="0"/>
        <strike/>
        <color theme="0"/>
      </font>
    </dxf>
    <dxf>
      <font>
        <b/>
        <i val="0"/>
        <strike/>
        <color theme="0"/>
      </font>
    </dxf>
    <dxf>
      <font>
        <strike/>
        <color theme="0"/>
      </font>
      <border>
        <left/>
        <right/>
        <top/>
        <bottom/>
      </border>
    </dxf>
    <dxf>
      <font>
        <strike/>
        <color theme="0"/>
      </font>
      <border>
        <left/>
        <right/>
        <top/>
        <bottom/>
        <vertical/>
        <horizontal/>
      </border>
    </dxf>
    <dxf>
      <font>
        <b/>
        <i val="0"/>
        <strike/>
        <color theme="0"/>
      </font>
      <border>
        <left/>
        <right/>
        <top/>
        <bottom/>
        <vertical/>
        <horizontal/>
      </border>
    </dxf>
    <dxf>
      <font>
        <b/>
        <i val="0"/>
        <color rgb="FFFF0000"/>
      </font>
      <fill>
        <patternFill>
          <bgColor rgb="FFFFFF66"/>
        </patternFill>
      </fill>
    </dxf>
    <dxf>
      <font>
        <b/>
        <i val="0"/>
        <strike/>
        <color theme="0"/>
      </font>
      <border>
        <left/>
        <right/>
        <top/>
        <bottom/>
        <vertical/>
        <horizontal/>
      </border>
    </dxf>
    <dxf>
      <font>
        <b/>
        <i val="0"/>
        <strike/>
        <color theme="0"/>
      </font>
      <border>
        <left/>
        <right/>
        <top/>
        <bottom/>
        <vertical/>
        <horizontal/>
      </border>
    </dxf>
    <dxf>
      <font>
        <b/>
        <i val="0"/>
        <color rgb="FF000080"/>
      </font>
      <fill>
        <patternFill>
          <bgColor rgb="FFFFFF66"/>
        </patternFill>
      </fill>
    </dxf>
    <dxf>
      <font>
        <b/>
        <i val="0"/>
        <color rgb="FF000080"/>
      </font>
      <fill>
        <patternFill>
          <bgColor rgb="FFFFFF00"/>
        </patternFill>
      </fill>
    </dxf>
    <dxf>
      <font>
        <strike/>
        <color theme="0"/>
      </font>
    </dxf>
    <dxf>
      <font>
        <b/>
        <i val="0"/>
        <strike/>
        <color theme="0"/>
      </font>
    </dxf>
    <dxf>
      <font>
        <b/>
        <i val="0"/>
        <color rgb="FFFF0000"/>
      </font>
      <fill>
        <patternFill>
          <bgColor rgb="FFFFFF66"/>
        </patternFill>
      </fill>
    </dxf>
    <dxf>
      <font>
        <b/>
        <i val="0"/>
        <color rgb="FFFF0000"/>
      </font>
      <fill>
        <patternFill>
          <bgColor rgb="FFFFFF00"/>
        </patternFill>
      </fill>
    </dxf>
    <dxf>
      <font>
        <b/>
        <i val="0"/>
        <color rgb="FFFF0000"/>
      </font>
      <fill>
        <patternFill>
          <bgColor rgb="FFFFFF00"/>
        </patternFill>
      </fill>
    </dxf>
    <dxf>
      <font>
        <b/>
        <i val="0"/>
        <strike/>
        <color theme="0"/>
      </font>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00"/>
        </patternFill>
      </fill>
    </dxf>
    <dxf>
      <font>
        <b/>
        <i val="0"/>
        <color rgb="FF000099"/>
      </font>
    </dxf>
    <dxf>
      <font>
        <b/>
        <i val="0"/>
        <color rgb="FFFF0000"/>
      </font>
      <fill>
        <patternFill>
          <bgColor rgb="FFFFFF00"/>
        </patternFill>
      </fill>
    </dxf>
    <dxf>
      <font>
        <b/>
        <i val="0"/>
        <color rgb="FFFF0000"/>
      </font>
      <fill>
        <patternFill>
          <bgColor rgb="FFFFFF66"/>
        </patternFill>
      </fill>
    </dxf>
    <dxf>
      <font>
        <color rgb="FF000080"/>
      </font>
    </dxf>
    <dxf>
      <font>
        <b/>
        <i val="0"/>
        <color rgb="FFFF0000"/>
      </font>
      <fill>
        <patternFill>
          <bgColor rgb="FFFFFF66"/>
        </patternFill>
      </fill>
    </dxf>
    <dxf>
      <font>
        <b/>
        <i val="0"/>
        <color rgb="FFFF0000"/>
      </font>
      <fill>
        <patternFill>
          <bgColor rgb="FFFFFF66"/>
        </patternFill>
      </fill>
    </dxf>
    <dxf>
      <font>
        <b/>
        <i val="0"/>
        <color rgb="FFFF0000"/>
      </font>
      <fill>
        <patternFill>
          <bgColor rgb="FFFFFF66"/>
        </patternFill>
      </fill>
    </dxf>
    <dxf>
      <font>
        <b/>
        <i val="0"/>
        <strike/>
        <color theme="0"/>
      </font>
      <border>
        <left/>
        <right/>
        <top/>
        <bottom/>
        <vertical/>
        <horizontal/>
      </border>
    </dxf>
    <dxf>
      <font>
        <b/>
        <i val="0"/>
        <strike/>
        <color theme="0"/>
      </font>
      <border>
        <left/>
        <right/>
        <top/>
        <bottom/>
        <vertical/>
        <horizontal/>
      </border>
    </dxf>
    <dxf>
      <font>
        <b/>
        <i val="0"/>
        <strike/>
        <color theme="0"/>
      </font>
      <border>
        <left/>
        <right/>
        <top/>
        <bottom/>
        <vertical/>
        <horizontal/>
      </border>
    </dxf>
    <dxf>
      <font>
        <b/>
        <i val="0"/>
        <strike/>
        <color theme="0"/>
      </font>
    </dxf>
    <dxf>
      <font>
        <strike/>
        <color theme="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color theme="0"/>
      </font>
      <border>
        <left/>
        <right/>
        <top/>
        <bottom/>
        <vertical/>
        <horizontal/>
      </border>
    </dxf>
    <dxf>
      <font>
        <b/>
        <i val="0"/>
        <strike/>
        <color theme="0"/>
      </font>
    </dxf>
    <dxf>
      <font>
        <b/>
        <i val="0"/>
        <color theme="0"/>
      </font>
      <fill>
        <patternFill>
          <bgColor rgb="FF000099"/>
        </patternFill>
      </fill>
    </dxf>
    <dxf>
      <font>
        <color theme="0"/>
      </font>
    </dxf>
    <dxf>
      <font>
        <color theme="0"/>
      </font>
    </dxf>
    <dxf>
      <font>
        <color theme="0"/>
      </font>
    </dxf>
    <dxf>
      <font>
        <color theme="0"/>
      </font>
    </dxf>
    <dxf>
      <font>
        <color theme="0"/>
      </font>
    </dxf>
    <dxf>
      <font>
        <color theme="0"/>
      </font>
    </dxf>
    <dxf>
      <font>
        <color theme="0"/>
      </font>
    </dxf>
    <dxf>
      <font>
        <b/>
        <i val="0"/>
        <strike/>
        <color theme="0"/>
      </font>
    </dxf>
    <dxf>
      <font>
        <b/>
        <i val="0"/>
        <color rgb="FF000080"/>
      </font>
      <fill>
        <patternFill>
          <bgColor rgb="FFFFFF00"/>
        </patternFill>
      </fill>
    </dxf>
    <dxf>
      <font>
        <strike/>
        <color theme="0"/>
      </font>
      <border>
        <left/>
        <right/>
        <top/>
        <bottom/>
      </border>
    </dxf>
    <dxf>
      <font>
        <strike/>
        <color theme="0"/>
      </font>
      <border>
        <left/>
        <right/>
        <top/>
        <bottom/>
        <vertical/>
        <horizontal/>
      </border>
    </dxf>
    <dxf>
      <font>
        <b/>
        <i val="0"/>
        <strike/>
        <color theme="0"/>
      </font>
      <border>
        <left/>
        <right/>
        <top/>
        <bottom/>
        <vertical/>
        <horizontal/>
      </border>
    </dxf>
    <dxf>
      <font>
        <b/>
        <i val="0"/>
        <color rgb="FFFF0000"/>
      </font>
      <fill>
        <patternFill>
          <bgColor rgb="FFFFFF66"/>
        </patternFill>
      </fill>
    </dxf>
    <dxf>
      <font>
        <b/>
        <i val="0"/>
        <strike/>
        <color theme="0"/>
      </font>
      <border>
        <left/>
        <right/>
        <top/>
        <bottom/>
        <vertical/>
        <horizontal/>
      </border>
    </dxf>
    <dxf>
      <font>
        <b/>
        <i val="0"/>
        <strike/>
        <color theme="0"/>
      </font>
      <border>
        <left/>
        <right/>
        <top/>
        <bottom/>
        <vertical/>
        <horizontal/>
      </border>
    </dxf>
    <dxf>
      <font>
        <b/>
        <i val="0"/>
        <color rgb="FF000080"/>
      </font>
      <fill>
        <patternFill>
          <bgColor rgb="FFFFFF66"/>
        </patternFill>
      </fill>
    </dxf>
    <dxf>
      <font>
        <b/>
        <i val="0"/>
        <color rgb="FF000080"/>
      </font>
      <fill>
        <patternFill>
          <bgColor rgb="FFFFFF00"/>
        </patternFill>
      </fill>
    </dxf>
    <dxf>
      <font>
        <b/>
        <i val="0"/>
        <color rgb="FFFF0000"/>
      </font>
      <fill>
        <patternFill>
          <bgColor theme="0" tint="-0.24994659260841701"/>
        </patternFill>
      </fill>
    </dxf>
    <dxf>
      <font>
        <b/>
        <i val="0"/>
        <color rgb="FFFF0000"/>
      </font>
      <fill>
        <patternFill>
          <bgColor theme="0" tint="-0.24994659260841701"/>
        </patternFill>
      </fill>
    </dxf>
    <dxf>
      <font>
        <strike/>
        <color theme="0"/>
      </font>
    </dxf>
    <dxf>
      <font>
        <b/>
        <i val="0"/>
        <color rgb="FFFF0000"/>
      </font>
      <fill>
        <patternFill>
          <bgColor theme="0" tint="-0.24994659260841701"/>
        </patternFill>
      </fill>
    </dxf>
    <dxf>
      <font>
        <b/>
        <i val="0"/>
        <color rgb="FFFF0000"/>
      </font>
      <fill>
        <patternFill>
          <bgColor theme="0" tint="-0.14996795556505021"/>
        </patternFill>
      </fill>
    </dxf>
    <dxf>
      <font>
        <b/>
        <i val="0"/>
        <color rgb="FFFF0000"/>
      </font>
      <fill>
        <patternFill>
          <bgColor theme="0" tint="-0.14996795556505021"/>
        </patternFill>
      </fill>
    </dxf>
    <dxf>
      <font>
        <b/>
        <i val="0"/>
        <strike/>
        <color theme="0"/>
      </font>
    </dxf>
    <dxf>
      <font>
        <b/>
        <i val="0"/>
        <color rgb="FF000099"/>
      </font>
      <fill>
        <patternFill>
          <bgColor rgb="FFFFFF00"/>
        </patternFill>
      </fill>
    </dxf>
    <dxf>
      <font>
        <b/>
        <i val="0"/>
        <color rgb="FF000099"/>
      </font>
      <fill>
        <patternFill>
          <bgColor rgb="FFFFFF00"/>
        </patternFill>
      </fill>
    </dxf>
    <dxf>
      <font>
        <b/>
        <i val="0"/>
        <color theme="0"/>
      </font>
      <fill>
        <patternFill>
          <bgColor rgb="FF0000CC"/>
        </patternFill>
      </fill>
    </dxf>
    <dxf>
      <font>
        <b/>
        <i val="0"/>
        <color rgb="FFFF0000"/>
      </font>
      <fill>
        <patternFill>
          <bgColor rgb="FFFFFF66"/>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b val="0"/>
        <i val="0"/>
        <color auto="1"/>
      </font>
      <fill>
        <patternFill>
          <bgColor rgb="FF92D050"/>
        </patternFill>
      </fill>
    </dxf>
    <dxf>
      <font>
        <color auto="1"/>
      </font>
      <fill>
        <patternFill>
          <bgColor rgb="FF92D050"/>
        </patternFill>
      </fill>
    </dxf>
    <dxf>
      <font>
        <b/>
        <i val="0"/>
        <color rgb="FFFF0000"/>
      </font>
      <fill>
        <patternFill>
          <bgColor rgb="FFFFFF00"/>
        </patternFill>
      </fill>
    </dxf>
    <dxf>
      <font>
        <b/>
        <i val="0"/>
        <color rgb="FFFF0000"/>
      </font>
      <fill>
        <patternFill>
          <bgColor rgb="FFFFFF00"/>
        </patternFill>
      </fill>
    </dxf>
    <dxf>
      <font>
        <b/>
        <i val="0"/>
        <strike/>
        <color theme="0"/>
      </font>
    </dxf>
    <dxf>
      <font>
        <b/>
        <i val="0"/>
        <color rgb="FFFF0000"/>
      </font>
      <fill>
        <patternFill>
          <bgColor rgb="FFFFFF00"/>
        </patternFill>
      </fill>
    </dxf>
    <dxf>
      <font>
        <b/>
        <i val="0"/>
        <color rgb="FFFF0000"/>
      </font>
      <fill>
        <patternFill>
          <bgColor rgb="FFFFFF00"/>
        </patternFill>
      </fill>
    </dxf>
    <dxf>
      <font>
        <b/>
        <i val="0"/>
        <color theme="0"/>
      </font>
      <fill>
        <patternFill>
          <bgColor rgb="FF0000CC"/>
        </patternFill>
      </fill>
    </dxf>
    <dxf>
      <font>
        <b/>
        <i val="0"/>
        <color rgb="FFC00000"/>
      </font>
      <fill>
        <patternFill>
          <bgColor rgb="FFFFFF99"/>
        </patternFill>
      </fill>
    </dxf>
    <dxf>
      <font>
        <b/>
        <i val="0"/>
        <color theme="0"/>
      </font>
      <fill>
        <patternFill>
          <bgColor rgb="FF0000CC"/>
        </patternFill>
      </fill>
    </dxf>
    <dxf>
      <font>
        <b/>
        <i val="0"/>
        <color rgb="FFC0000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i val="0"/>
        <color rgb="FFC00000"/>
      </font>
    </dxf>
    <dxf>
      <font>
        <b/>
        <i val="0"/>
        <color rgb="FFC00000"/>
      </font>
    </dxf>
    <dxf>
      <font>
        <b/>
        <i val="0"/>
        <color rgb="FFC00000"/>
      </font>
    </dxf>
    <dxf>
      <font>
        <b/>
        <i val="0"/>
        <color rgb="FFC00000"/>
      </font>
    </dxf>
    <dxf>
      <fill>
        <patternFill patternType="none">
          <bgColor auto="1"/>
        </patternFill>
      </fill>
      <border>
        <left/>
        <right/>
        <top/>
        <bottom/>
      </border>
    </dxf>
    <dxf>
      <font>
        <color theme="0" tint="-0.14996795556505021"/>
      </font>
      <fill>
        <patternFill patternType="none">
          <bgColor auto="1"/>
        </patternFill>
      </fill>
    </dxf>
    <dxf>
      <fill>
        <patternFill patternType="none">
          <bgColor auto="1"/>
        </patternFill>
      </fill>
      <border>
        <left/>
        <right/>
        <top/>
        <bottom/>
        <vertical/>
        <horizontal/>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left/>
        <right/>
        <top/>
        <bottom/>
        <vertical/>
        <horizontal/>
      </border>
    </dxf>
    <dxf>
      <border>
        <left/>
        <right/>
        <top/>
        <bottom/>
        <vertical/>
        <horizontal/>
      </border>
    </dxf>
    <dxf>
      <fill>
        <patternFill patternType="none">
          <bgColor auto="1"/>
        </patternFill>
      </fill>
    </dxf>
    <dxf>
      <border>
        <left/>
        <right/>
        <top/>
        <bottom/>
        <vertical/>
        <horizontal/>
      </border>
    </dxf>
    <dxf>
      <border>
        <left/>
        <right/>
        <top/>
        <bottom/>
        <vertical/>
        <horizontal/>
      </border>
    </dxf>
    <dxf>
      <fill>
        <patternFill patternType="none">
          <bgColor auto="1"/>
        </patternFill>
      </fill>
    </dxf>
    <dxf>
      <border>
        <left/>
        <right/>
        <top/>
        <bottom/>
        <vertical/>
        <horizontal/>
      </border>
    </dxf>
    <dxf>
      <border>
        <left/>
        <right/>
        <top/>
        <bottom/>
        <vertical/>
        <horizontal/>
      </border>
    </dxf>
    <dxf>
      <fill>
        <patternFill patternType="none">
          <bgColor auto="1"/>
        </patternFill>
      </fill>
    </dxf>
    <dxf>
      <border>
        <left/>
        <right/>
        <top/>
        <bottom/>
        <vertical/>
        <horizontal/>
      </border>
    </dxf>
    <dxf>
      <border>
        <left/>
        <right/>
        <top/>
        <bottom/>
        <vertical/>
        <horizontal/>
      </border>
    </dxf>
    <dxf>
      <fill>
        <patternFill patternType="none">
          <bgColor auto="1"/>
        </patternFill>
      </fill>
    </dxf>
    <dxf>
      <border>
        <left/>
        <right/>
        <top/>
        <bottom/>
        <vertical/>
        <horizontal/>
      </border>
    </dxf>
    <dxf>
      <border>
        <left/>
        <right/>
        <top/>
        <bottom/>
        <vertical/>
        <horizontal/>
      </border>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left style="thin">
          <color auto="1"/>
        </left>
        <right style="thin">
          <color auto="1"/>
        </right>
        <top style="thin">
          <color auto="1"/>
        </top>
        <bottom style="thin">
          <color auto="1"/>
        </bottom>
        <vertical/>
        <horizontal/>
      </border>
    </dxf>
    <dxf>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color theme="0"/>
      </font>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ont>
        <color theme="0" tint="-0.14996795556505021"/>
      </font>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ont>
        <b/>
        <i val="0"/>
        <color rgb="FFB00000"/>
      </font>
      <fill>
        <patternFill>
          <bgColor rgb="FFFFEFEF"/>
        </patternFill>
      </fill>
    </dxf>
    <dxf>
      <font>
        <b/>
        <i val="0"/>
        <color rgb="FFB00000"/>
      </font>
      <fill>
        <patternFill>
          <bgColor rgb="FFFFE5E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i val="0"/>
        <color rgb="FFC00000"/>
      </font>
    </dxf>
    <dxf>
      <font>
        <b/>
        <i val="0"/>
        <color rgb="FFC00000"/>
      </font>
      <fill>
        <patternFill>
          <bgColor theme="5" tint="0.79998168889431442"/>
        </patternFill>
      </fill>
    </dxf>
    <dxf>
      <font>
        <b/>
        <i val="0"/>
        <color rgb="FFC00000"/>
      </font>
      <fill>
        <patternFill>
          <bgColor theme="5" tint="0.79998168889431442"/>
        </patternFill>
      </fill>
    </dxf>
    <dxf>
      <font>
        <color theme="0"/>
      </font>
      <fill>
        <patternFill>
          <bgColor theme="0"/>
        </patternFill>
      </fill>
    </dxf>
    <dxf>
      <font>
        <b/>
        <i val="0"/>
        <color rgb="FFC00000"/>
      </font>
      <fill>
        <patternFill>
          <bgColor theme="5" tint="0.79998168889431442"/>
        </patternFill>
      </fill>
    </dxf>
    <dxf>
      <font>
        <b/>
        <i val="0"/>
        <color rgb="FFB00000"/>
      </font>
      <fill>
        <patternFill>
          <bgColor theme="0" tint="-0.14996795556505021"/>
        </patternFill>
      </fill>
    </dxf>
    <dxf>
      <font>
        <b/>
        <i val="0"/>
        <color rgb="FFC00000"/>
      </font>
    </dxf>
    <dxf>
      <font>
        <b/>
        <i val="0"/>
        <color rgb="FFB00000"/>
      </font>
      <fill>
        <patternFill>
          <bgColor theme="0" tint="-0.14996795556505021"/>
        </patternFill>
      </fill>
    </dxf>
    <dxf>
      <font>
        <b/>
        <i val="0"/>
        <color rgb="FFB00000"/>
      </font>
      <fill>
        <patternFill>
          <bgColor theme="0" tint="-0.14996795556505021"/>
        </patternFill>
      </fill>
    </dxf>
    <dxf>
      <font>
        <b/>
        <i val="0"/>
        <color rgb="FFC00000"/>
      </font>
      <fill>
        <patternFill>
          <bgColor theme="0" tint="-0.14996795556505021"/>
        </patternFill>
      </fill>
    </dxf>
    <dxf>
      <fill>
        <patternFill>
          <bgColor theme="0" tint="-0.14996795556505021"/>
        </patternFill>
      </fill>
    </dxf>
    <dxf>
      <font>
        <b/>
        <i val="0"/>
        <color rgb="FFC00000"/>
      </font>
      <fill>
        <patternFill>
          <bgColor theme="9" tint="0.79998168889431442"/>
        </patternFill>
      </fill>
    </dxf>
    <dxf>
      <font>
        <b/>
        <i val="0"/>
        <color rgb="FFC00000"/>
      </font>
      <fill>
        <patternFill>
          <bgColor theme="9" tint="0.79998168889431442"/>
        </patternFill>
      </fill>
    </dxf>
    <dxf>
      <font>
        <b/>
        <i val="0"/>
        <color rgb="FFC00000"/>
      </font>
      <fill>
        <patternFill>
          <bgColor theme="9" tint="0.79998168889431442"/>
        </patternFill>
      </fill>
    </dxf>
    <dxf>
      <font>
        <b/>
        <i val="0"/>
        <color rgb="FFC00000"/>
      </font>
      <fill>
        <patternFill>
          <bgColor theme="0" tint="-0.14996795556505021"/>
        </patternFill>
      </fill>
    </dxf>
    <dxf>
      <font>
        <color theme="0" tint="-4.9989318521683403E-2"/>
      </font>
      <fill>
        <patternFill>
          <bgColor theme="0"/>
        </patternFill>
      </fill>
    </dxf>
    <dxf>
      <font>
        <b/>
        <i val="0"/>
        <color rgb="FFC00000"/>
      </font>
      <fill>
        <patternFill>
          <bgColor theme="0" tint="-0.14996795556505021"/>
        </patternFill>
      </fill>
    </dxf>
    <dxf>
      <font>
        <b/>
        <i val="0"/>
        <color rgb="FFC00000"/>
      </font>
    </dxf>
    <dxf>
      <font>
        <color theme="0"/>
      </font>
      <fill>
        <patternFill>
          <bgColor theme="0"/>
        </patternFill>
      </fill>
    </dxf>
    <dxf>
      <font>
        <color theme="0"/>
      </font>
      <fill>
        <patternFill patternType="none">
          <bgColor auto="1"/>
        </patternFill>
      </fill>
    </dxf>
    <dxf>
      <font>
        <b/>
        <i val="0"/>
        <color rgb="FFC00000"/>
      </font>
      <fill>
        <patternFill>
          <bgColor rgb="FFFFCCCC"/>
        </patternFill>
      </fill>
    </dxf>
    <dxf>
      <font>
        <b/>
        <i val="0"/>
        <color rgb="FFC00000"/>
      </font>
    </dxf>
    <dxf>
      <font>
        <b/>
        <i val="0"/>
        <color rgb="FFC00000"/>
      </font>
      <fill>
        <patternFill>
          <bgColor theme="5" tint="0.79998168889431442"/>
        </patternFill>
      </fill>
    </dxf>
    <dxf>
      <font>
        <color theme="0"/>
      </font>
      <fill>
        <patternFill>
          <bgColor theme="0"/>
        </patternFill>
      </fill>
    </dxf>
    <dxf>
      <font>
        <b/>
        <i val="0"/>
        <color rgb="FFC00000"/>
      </font>
    </dxf>
    <dxf>
      <font>
        <b/>
        <i val="0"/>
        <color rgb="FFC00000"/>
      </font>
    </dxf>
    <dxf>
      <font>
        <b/>
        <i val="0"/>
        <color theme="0"/>
      </font>
      <fill>
        <patternFill>
          <bgColor rgb="FFC00000"/>
        </patternFill>
      </fill>
    </dxf>
    <dxf>
      <font>
        <b/>
        <i val="0"/>
        <color rgb="FFC00000"/>
      </font>
    </dxf>
    <dxf>
      <font>
        <b/>
        <i val="0"/>
        <color rgb="FFC00000"/>
      </font>
    </dxf>
    <dxf>
      <font>
        <b/>
        <i val="0"/>
        <color rgb="FFC00000"/>
      </font>
    </dxf>
    <dxf>
      <font>
        <b/>
        <i val="0"/>
        <color rgb="FFC00000"/>
      </font>
    </dxf>
    <dxf>
      <font>
        <color theme="0"/>
      </font>
      <fill>
        <patternFill>
          <bgColor theme="0"/>
        </patternFill>
      </fill>
    </dxf>
    <dxf>
      <font>
        <b/>
        <i val="0"/>
        <color rgb="FFC00000"/>
      </font>
    </dxf>
    <dxf>
      <font>
        <b/>
        <i val="0"/>
        <color rgb="FFC00000"/>
      </font>
    </dxf>
    <dxf>
      <font>
        <b/>
        <i val="0"/>
        <color rgb="FFC00000"/>
      </font>
      <fill>
        <patternFill>
          <bgColor theme="5" tint="0.79998168889431442"/>
        </patternFill>
      </fill>
    </dxf>
    <dxf>
      <font>
        <b/>
        <i val="0"/>
        <color rgb="FFC00000"/>
      </font>
      <fill>
        <patternFill>
          <bgColor theme="5" tint="0.79998168889431442"/>
        </patternFill>
      </fill>
    </dxf>
    <dxf>
      <font>
        <b/>
        <i val="0"/>
        <color rgb="FFC00000"/>
      </font>
      <fill>
        <patternFill>
          <bgColor theme="5" tint="0.79998168889431442"/>
        </patternFill>
      </fill>
    </dxf>
    <dxf>
      <font>
        <b/>
        <i val="0"/>
        <color rgb="FFC00000"/>
      </font>
    </dxf>
    <dxf>
      <font>
        <b/>
        <i val="0"/>
        <color rgb="FFC00000"/>
      </font>
    </dxf>
    <dxf>
      <font>
        <b/>
        <i val="0"/>
        <color rgb="FFC00000"/>
      </font>
      <fill>
        <patternFill>
          <bgColor theme="5" tint="0.79998168889431442"/>
        </patternFill>
      </fill>
    </dxf>
    <dxf>
      <font>
        <b/>
        <i val="0"/>
        <color rgb="FFC00000"/>
      </font>
    </dxf>
    <dxf>
      <font>
        <b/>
        <i val="0"/>
        <color rgb="FFC00000"/>
      </font>
    </dxf>
    <dxf>
      <font>
        <b/>
        <i val="0"/>
        <color rgb="FFC00000"/>
      </font>
    </dxf>
    <dxf>
      <font>
        <b/>
        <i val="0"/>
        <color rgb="FFC00000"/>
      </font>
    </dxf>
    <dxf>
      <font>
        <b/>
        <i val="0"/>
        <color rgb="FFC00000"/>
      </font>
      <fill>
        <patternFill>
          <bgColor rgb="FFFEFFE5"/>
        </patternFill>
      </fill>
    </dxf>
    <dxf>
      <font>
        <color theme="0"/>
      </font>
    </dxf>
    <dxf>
      <font>
        <b/>
        <i/>
        <color rgb="FFC00000"/>
      </font>
      <fill>
        <patternFill>
          <bgColor rgb="FFFEFFE5"/>
        </patternFill>
      </fill>
    </dxf>
    <dxf>
      <font>
        <b/>
        <i val="0"/>
        <color rgb="FFC00000"/>
      </font>
      <fill>
        <patternFill>
          <bgColor rgb="FFFEFFE5"/>
        </patternFill>
      </fill>
    </dxf>
    <dxf>
      <font>
        <b/>
        <i val="0"/>
        <color rgb="FFC00000"/>
      </font>
      <fill>
        <patternFill>
          <bgColor rgb="FFFEFFE5"/>
        </patternFill>
      </fill>
    </dxf>
  </dxfs>
  <tableStyles count="0" defaultTableStyle="TableStyleMedium9" defaultPivotStyle="PivotStyleLight16"/>
  <colors>
    <mruColors>
      <color rgb="FFB00000"/>
      <color rgb="FF000099"/>
      <color rgb="FFFFCCCC"/>
      <color rgb="FFFEFFE5"/>
      <color rgb="FFFFE5E5"/>
      <color rgb="FFFFEFEF"/>
      <color rgb="FFFFFFCC"/>
      <color rgb="FFF8FDBB"/>
      <color rgb="FFFF505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28</xdr:col>
      <xdr:colOff>85530</xdr:colOff>
      <xdr:row>1</xdr:row>
      <xdr:rowOff>93306</xdr:rowOff>
    </xdr:from>
    <xdr:to>
      <xdr:col>28</xdr:col>
      <xdr:colOff>870858</xdr:colOff>
      <xdr:row>5</xdr:row>
      <xdr:rowOff>144865</xdr:rowOff>
    </xdr:to>
    <xdr:pic>
      <xdr:nvPicPr>
        <xdr:cNvPr id="3" name="Picture 2" descr="001logo de borrero">
          <a:extLst>
            <a:ext uri="{FF2B5EF4-FFF2-40B4-BE49-F238E27FC236}">
              <a16:creationId xmlns:a16="http://schemas.microsoft.com/office/drawing/2014/main" id="{E80CBB81-A9B7-4EBE-8D5F-C24DF8D78F3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010816" y="264367"/>
          <a:ext cx="785328" cy="73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7</xdr:col>
      <xdr:colOff>665417</xdr:colOff>
      <xdr:row>23</xdr:row>
      <xdr:rowOff>119841</xdr:rowOff>
    </xdr:to>
    <xdr:pic>
      <xdr:nvPicPr>
        <xdr:cNvPr id="2" name="1 Imagen">
          <a:extLst>
            <a:ext uri="{FF2B5EF4-FFF2-40B4-BE49-F238E27FC236}">
              <a16:creationId xmlns:a16="http://schemas.microsoft.com/office/drawing/2014/main" id="{CE70B558-E30E-464E-9118-1CBB7641A495}"/>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bwMode="auto">
        <a:xfrm>
          <a:off x="1584960" y="167640"/>
          <a:ext cx="4627817" cy="38079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0</xdr:colOff>
      <xdr:row>3</xdr:row>
      <xdr:rowOff>0</xdr:rowOff>
    </xdr:from>
    <xdr:to>
      <xdr:col>14</xdr:col>
      <xdr:colOff>370924</xdr:colOff>
      <xdr:row>30</xdr:row>
      <xdr:rowOff>77539</xdr:rowOff>
    </xdr:to>
    <xdr:pic>
      <xdr:nvPicPr>
        <xdr:cNvPr id="3" name="2 Imagen">
          <a:extLst>
            <a:ext uri="{FF2B5EF4-FFF2-40B4-BE49-F238E27FC236}">
              <a16:creationId xmlns:a16="http://schemas.microsoft.com/office/drawing/2014/main" id="{D4051526-04A0-4793-8FF5-033794F498F2}"/>
            </a:ext>
          </a:extLst>
        </xdr:cNvPr>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7132320" y="502920"/>
          <a:ext cx="4333324" cy="460381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762000</xdr:colOff>
      <xdr:row>0</xdr:row>
      <xdr:rowOff>57150</xdr:rowOff>
    </xdr:from>
    <xdr:to>
      <xdr:col>1</xdr:col>
      <xdr:colOff>1828800</xdr:colOff>
      <xdr:row>5</xdr:row>
      <xdr:rowOff>133350</xdr:rowOff>
    </xdr:to>
    <xdr:pic>
      <xdr:nvPicPr>
        <xdr:cNvPr id="2" name="Picture 2" descr="001logo de borrer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762000" y="57150"/>
          <a:ext cx="1066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94</xdr:col>
      <xdr:colOff>696664</xdr:colOff>
      <xdr:row>0</xdr:row>
      <xdr:rowOff>23615</xdr:rowOff>
    </xdr:from>
    <xdr:to>
      <xdr:col>94</xdr:col>
      <xdr:colOff>1763464</xdr:colOff>
      <xdr:row>5</xdr:row>
      <xdr:rowOff>99815</xdr:rowOff>
    </xdr:to>
    <xdr:pic>
      <xdr:nvPicPr>
        <xdr:cNvPr id="3" name="Picture 2" descr="001logo de borrero">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1430002" y="23615"/>
          <a:ext cx="1066800" cy="91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23</xdr:col>
      <xdr:colOff>665417</xdr:colOff>
      <xdr:row>23</xdr:row>
      <xdr:rowOff>112221</xdr:rowOff>
    </xdr:to>
    <xdr:pic>
      <xdr:nvPicPr>
        <xdr:cNvPr id="5" name="1 Imagen">
          <a:extLst>
            <a:ext uri="{FF2B5EF4-FFF2-40B4-BE49-F238E27FC236}">
              <a16:creationId xmlns:a16="http://schemas.microsoft.com/office/drawing/2014/main" id="{A5D989D9-55B6-4747-B8BE-9A475E7AB75E}"/>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bwMode="auto">
        <a:xfrm>
          <a:off x="5547360" y="160020"/>
          <a:ext cx="4627817" cy="37850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0</xdr:colOff>
      <xdr:row>1</xdr:row>
      <xdr:rowOff>0</xdr:rowOff>
    </xdr:from>
    <xdr:to>
      <xdr:col>17</xdr:col>
      <xdr:colOff>370924</xdr:colOff>
      <xdr:row>28</xdr:row>
      <xdr:rowOff>92779</xdr:rowOff>
    </xdr:to>
    <xdr:pic>
      <xdr:nvPicPr>
        <xdr:cNvPr id="6" name="2 Imagen">
          <a:extLst>
            <a:ext uri="{FF2B5EF4-FFF2-40B4-BE49-F238E27FC236}">
              <a16:creationId xmlns:a16="http://schemas.microsoft.com/office/drawing/2014/main" id="{814849EB-5AB7-45B1-A03B-AB3C31560A9C}"/>
            </a:ext>
          </a:extLst>
        </xdr:cNvPr>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789709" y="159327"/>
          <a:ext cx="4319470" cy="4567797"/>
        </a:xfrm>
        <a:prstGeom prst="rect">
          <a:avLst/>
        </a:prstGeom>
        <a:ln>
          <a:noFill/>
        </a:ln>
        <a:extLst>
          <a:ext uri="{53640926-AAD7-44D8-BBD7-CCE9431645EC}">
            <a14:shadowObscured xmlns:a14="http://schemas.microsoft.com/office/drawing/2010/main"/>
          </a:ext>
        </a:extLst>
      </xdr:spPr>
    </xdr:pic>
    <xdr:clientData/>
  </xdr:twoCellAnchor>
  <xdr:twoCellAnchor>
    <xdr:from>
      <xdr:col>16</xdr:col>
      <xdr:colOff>263237</xdr:colOff>
      <xdr:row>49</xdr:row>
      <xdr:rowOff>41563</xdr:rowOff>
    </xdr:from>
    <xdr:to>
      <xdr:col>17</xdr:col>
      <xdr:colOff>414761</xdr:colOff>
      <xdr:row>51</xdr:row>
      <xdr:rowOff>145757</xdr:rowOff>
    </xdr:to>
    <xdr:pic>
      <xdr:nvPicPr>
        <xdr:cNvPr id="2" name="Imagen 1" descr="Descripción: http://helpmerick.com/wp-content/uploads/2006/08/Control-F.png">
          <a:extLst>
            <a:ext uri="{FF2B5EF4-FFF2-40B4-BE49-F238E27FC236}">
              <a16:creationId xmlns:a16="http://schemas.microsoft.com/office/drawing/2014/main" id="{50BEEC62-1074-406A-A245-3A7129F84412}"/>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4211782" y="7502236"/>
          <a:ext cx="941234" cy="436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12</xdr:col>
      <xdr:colOff>215265</xdr:colOff>
      <xdr:row>32</xdr:row>
      <xdr:rowOff>75565</xdr:rowOff>
    </xdr:to>
    <xdr:pic>
      <xdr:nvPicPr>
        <xdr:cNvPr id="2" name="Imagen 1">
          <a:extLst>
            <a:ext uri="{FF2B5EF4-FFF2-40B4-BE49-F238E27FC236}">
              <a16:creationId xmlns:a16="http://schemas.microsoft.com/office/drawing/2014/main" id="{578C13D3-3268-2EEE-D935-AE4FE3AAB6AD}"/>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792480" y="502920"/>
          <a:ext cx="8932545" cy="4937125"/>
        </a:xfrm>
        <a:prstGeom prst="rect">
          <a:avLst/>
        </a:prstGeom>
        <a:noFill/>
      </xdr:spPr>
    </xdr:pic>
    <xdr:clientData/>
  </xdr:twoCellAnchor>
  <xdr:twoCellAnchor>
    <xdr:from>
      <xdr:col>10</xdr:col>
      <xdr:colOff>472440</xdr:colOff>
      <xdr:row>10</xdr:row>
      <xdr:rowOff>22860</xdr:rowOff>
    </xdr:from>
    <xdr:to>
      <xdr:col>12</xdr:col>
      <xdr:colOff>289560</xdr:colOff>
      <xdr:row>11</xdr:row>
      <xdr:rowOff>38100</xdr:rowOff>
    </xdr:to>
    <xdr:sp macro="" textlink="">
      <xdr:nvSpPr>
        <xdr:cNvPr id="3" name="Flecha: hacia la izquierda 2">
          <a:extLst>
            <a:ext uri="{FF2B5EF4-FFF2-40B4-BE49-F238E27FC236}">
              <a16:creationId xmlns:a16="http://schemas.microsoft.com/office/drawing/2014/main" id="{B147349D-7F99-9273-2794-A00AC05FE926}"/>
            </a:ext>
          </a:extLst>
        </xdr:cNvPr>
        <xdr:cNvSpPr/>
      </xdr:nvSpPr>
      <xdr:spPr bwMode="auto">
        <a:xfrm>
          <a:off x="8397240" y="1699260"/>
          <a:ext cx="1402080" cy="182880"/>
        </a:xfrm>
        <a:prstGeom prst="lef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s-ES" sz="1100"/>
        </a:p>
      </xdr:txBody>
    </xdr:sp>
    <xdr:clientData/>
  </xdr:twoCellAnchor>
  <xdr:twoCellAnchor>
    <xdr:from>
      <xdr:col>1</xdr:col>
      <xdr:colOff>0</xdr:colOff>
      <xdr:row>3</xdr:row>
      <xdr:rowOff>0</xdr:rowOff>
    </xdr:from>
    <xdr:to>
      <xdr:col>2</xdr:col>
      <xdr:colOff>609600</xdr:colOff>
      <xdr:row>4</xdr:row>
      <xdr:rowOff>15240</xdr:rowOff>
    </xdr:to>
    <xdr:sp macro="" textlink="">
      <xdr:nvSpPr>
        <xdr:cNvPr id="4" name="Flecha: hacia la izquierda 3">
          <a:extLst>
            <a:ext uri="{FF2B5EF4-FFF2-40B4-BE49-F238E27FC236}">
              <a16:creationId xmlns:a16="http://schemas.microsoft.com/office/drawing/2014/main" id="{5390DC5B-8F73-4E21-88B3-6F58902EA8F0}"/>
            </a:ext>
          </a:extLst>
        </xdr:cNvPr>
        <xdr:cNvSpPr/>
      </xdr:nvSpPr>
      <xdr:spPr bwMode="auto">
        <a:xfrm>
          <a:off x="792480" y="502920"/>
          <a:ext cx="1402080" cy="182880"/>
        </a:xfrm>
        <a:prstGeom prst="lef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s-ES" sz="1100"/>
        </a:p>
      </xdr:txBody>
    </xdr:sp>
    <xdr:clientData/>
  </xdr:twoCellAnchor>
  <xdr:twoCellAnchor>
    <xdr:from>
      <xdr:col>10</xdr:col>
      <xdr:colOff>396240</xdr:colOff>
      <xdr:row>11</xdr:row>
      <xdr:rowOff>15240</xdr:rowOff>
    </xdr:from>
    <xdr:to>
      <xdr:col>12</xdr:col>
      <xdr:colOff>213360</xdr:colOff>
      <xdr:row>12</xdr:row>
      <xdr:rowOff>30480</xdr:rowOff>
    </xdr:to>
    <xdr:sp macro="" textlink="">
      <xdr:nvSpPr>
        <xdr:cNvPr id="5" name="Flecha: hacia la izquierda 4">
          <a:extLst>
            <a:ext uri="{FF2B5EF4-FFF2-40B4-BE49-F238E27FC236}">
              <a16:creationId xmlns:a16="http://schemas.microsoft.com/office/drawing/2014/main" id="{F0922838-57F5-4388-98DA-71F785AA66CA}"/>
            </a:ext>
          </a:extLst>
        </xdr:cNvPr>
        <xdr:cNvSpPr/>
      </xdr:nvSpPr>
      <xdr:spPr bwMode="auto">
        <a:xfrm>
          <a:off x="8321040" y="1859280"/>
          <a:ext cx="1402080" cy="182880"/>
        </a:xfrm>
        <a:prstGeom prst="lef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s-E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882961</xdr:colOff>
      <xdr:row>0</xdr:row>
      <xdr:rowOff>105168</xdr:rowOff>
    </xdr:from>
    <xdr:to>
      <xdr:col>1</xdr:col>
      <xdr:colOff>1832373</xdr:colOff>
      <xdr:row>5</xdr:row>
      <xdr:rowOff>62977</xdr:rowOff>
    </xdr:to>
    <xdr:pic>
      <xdr:nvPicPr>
        <xdr:cNvPr id="2" name="Picture 2" descr="001logo de borrer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945936" y="105168"/>
          <a:ext cx="949412" cy="957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0</xdr:colOff>
      <xdr:row>3</xdr:row>
      <xdr:rowOff>0</xdr:rowOff>
    </xdr:from>
    <xdr:to>
      <xdr:col>38</xdr:col>
      <xdr:colOff>41506</xdr:colOff>
      <xdr:row>19</xdr:row>
      <xdr:rowOff>151335</xdr:rowOff>
    </xdr:to>
    <xdr:pic>
      <xdr:nvPicPr>
        <xdr:cNvPr id="4" name="3 Imagen">
          <a:extLst>
            <a:ext uri="{FF2B5EF4-FFF2-40B4-BE49-F238E27FC236}">
              <a16:creationId xmlns:a16="http://schemas.microsoft.com/office/drawing/2014/main" id="{00000000-0008-0000-0C00-000004000000}"/>
            </a:ext>
          </a:extLst>
        </xdr:cNvPr>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11780562" y="570976"/>
          <a:ext cx="8635134" cy="3644359"/>
        </a:xfrm>
        <a:prstGeom prst="rect">
          <a:avLst/>
        </a:prstGeom>
        <a:ln>
          <a:noFill/>
        </a:ln>
        <a:extLst>
          <a:ext uri="{53640926-AAD7-44D8-BBD7-CCE9431645EC}">
            <a14:shadowObscured xmlns:a14="http://schemas.microsoft.com/office/drawing/2010/main"/>
          </a:ext>
        </a:extLst>
      </xdr:spPr>
    </xdr:pic>
    <xdr:clientData/>
  </xdr:twoCellAnchor>
  <xdr:twoCellAnchor>
    <xdr:from>
      <xdr:col>37</xdr:col>
      <xdr:colOff>774042</xdr:colOff>
      <xdr:row>15</xdr:row>
      <xdr:rowOff>242399</xdr:rowOff>
    </xdr:from>
    <xdr:to>
      <xdr:col>38</xdr:col>
      <xdr:colOff>549984</xdr:colOff>
      <xdr:row>16</xdr:row>
      <xdr:rowOff>152909</xdr:rowOff>
    </xdr:to>
    <xdr:sp macro="" textlink="">
      <xdr:nvSpPr>
        <xdr:cNvPr id="6" name="5 Flecha derecha">
          <a:extLst>
            <a:ext uri="{FF2B5EF4-FFF2-40B4-BE49-F238E27FC236}">
              <a16:creationId xmlns:a16="http://schemas.microsoft.com/office/drawing/2014/main" id="{00000000-0008-0000-0C00-000006000000}"/>
            </a:ext>
          </a:extLst>
        </xdr:cNvPr>
        <xdr:cNvSpPr/>
      </xdr:nvSpPr>
      <xdr:spPr bwMode="auto">
        <a:xfrm>
          <a:off x="20363530" y="3298796"/>
          <a:ext cx="556834" cy="162411"/>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37</xdr:col>
      <xdr:colOff>764099</xdr:colOff>
      <xdr:row>17</xdr:row>
      <xdr:rowOff>159537</xdr:rowOff>
    </xdr:from>
    <xdr:to>
      <xdr:col>38</xdr:col>
      <xdr:colOff>540041</xdr:colOff>
      <xdr:row>18</xdr:row>
      <xdr:rowOff>66733</xdr:rowOff>
    </xdr:to>
    <xdr:sp macro="" textlink="">
      <xdr:nvSpPr>
        <xdr:cNvPr id="7" name="6 Flecha derecha">
          <a:extLst>
            <a:ext uri="{FF2B5EF4-FFF2-40B4-BE49-F238E27FC236}">
              <a16:creationId xmlns:a16="http://schemas.microsoft.com/office/drawing/2014/main" id="{00000000-0008-0000-0C00-000007000000}"/>
            </a:ext>
          </a:extLst>
        </xdr:cNvPr>
        <xdr:cNvSpPr/>
      </xdr:nvSpPr>
      <xdr:spPr bwMode="auto">
        <a:xfrm>
          <a:off x="20353587" y="3719736"/>
          <a:ext cx="556834" cy="159096"/>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38</xdr:col>
      <xdr:colOff>33588</xdr:colOff>
      <xdr:row>21</xdr:row>
      <xdr:rowOff>251902</xdr:rowOff>
    </xdr:from>
    <xdr:to>
      <xdr:col>38</xdr:col>
      <xdr:colOff>590422</xdr:colOff>
      <xdr:row>22</xdr:row>
      <xdr:rowOff>125510</xdr:rowOff>
    </xdr:to>
    <xdr:sp macro="" textlink="">
      <xdr:nvSpPr>
        <xdr:cNvPr id="8" name="7 Flecha derecha">
          <a:extLst>
            <a:ext uri="{FF2B5EF4-FFF2-40B4-BE49-F238E27FC236}">
              <a16:creationId xmlns:a16="http://schemas.microsoft.com/office/drawing/2014/main" id="{00000000-0008-0000-0C00-000008000000}"/>
            </a:ext>
          </a:extLst>
        </xdr:cNvPr>
        <xdr:cNvSpPr/>
      </xdr:nvSpPr>
      <xdr:spPr bwMode="auto">
        <a:xfrm>
          <a:off x="20403968" y="4651770"/>
          <a:ext cx="556834" cy="159096"/>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38</xdr:col>
      <xdr:colOff>75570</xdr:colOff>
      <xdr:row>24</xdr:row>
      <xdr:rowOff>142744</xdr:rowOff>
    </xdr:from>
    <xdr:to>
      <xdr:col>38</xdr:col>
      <xdr:colOff>632404</xdr:colOff>
      <xdr:row>25</xdr:row>
      <xdr:rowOff>49939</xdr:rowOff>
    </xdr:to>
    <xdr:sp macro="" textlink="">
      <xdr:nvSpPr>
        <xdr:cNvPr id="9" name="8 Flecha derecha">
          <a:extLst>
            <a:ext uri="{FF2B5EF4-FFF2-40B4-BE49-F238E27FC236}">
              <a16:creationId xmlns:a16="http://schemas.microsoft.com/office/drawing/2014/main" id="{00000000-0008-0000-0C00-000009000000}"/>
            </a:ext>
          </a:extLst>
        </xdr:cNvPr>
        <xdr:cNvSpPr/>
      </xdr:nvSpPr>
      <xdr:spPr bwMode="auto">
        <a:xfrm>
          <a:off x="20445950" y="5365487"/>
          <a:ext cx="556834" cy="159096"/>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38</xdr:col>
      <xdr:colOff>58777</xdr:colOff>
      <xdr:row>27</xdr:row>
      <xdr:rowOff>75570</xdr:rowOff>
    </xdr:from>
    <xdr:to>
      <xdr:col>38</xdr:col>
      <xdr:colOff>615611</xdr:colOff>
      <xdr:row>28</xdr:row>
      <xdr:rowOff>49939</xdr:rowOff>
    </xdr:to>
    <xdr:sp macro="" textlink="">
      <xdr:nvSpPr>
        <xdr:cNvPr id="10" name="9 Flecha derecha">
          <a:extLst>
            <a:ext uri="{FF2B5EF4-FFF2-40B4-BE49-F238E27FC236}">
              <a16:creationId xmlns:a16="http://schemas.microsoft.com/office/drawing/2014/main" id="{00000000-0008-0000-0C00-00000A000000}"/>
            </a:ext>
          </a:extLst>
        </xdr:cNvPr>
        <xdr:cNvSpPr/>
      </xdr:nvSpPr>
      <xdr:spPr bwMode="auto">
        <a:xfrm>
          <a:off x="20429157" y="6087603"/>
          <a:ext cx="556834" cy="159096"/>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33</xdr:col>
      <xdr:colOff>188926</xdr:colOff>
      <xdr:row>14</xdr:row>
      <xdr:rowOff>99434</xdr:rowOff>
    </xdr:from>
    <xdr:to>
      <xdr:col>34</xdr:col>
      <xdr:colOff>0</xdr:colOff>
      <xdr:row>16</xdr:row>
      <xdr:rowOff>208813</xdr:rowOff>
    </xdr:to>
    <xdr:sp macro="" textlink="">
      <xdr:nvSpPr>
        <xdr:cNvPr id="11" name="10 Elipse">
          <a:extLst>
            <a:ext uri="{FF2B5EF4-FFF2-40B4-BE49-F238E27FC236}">
              <a16:creationId xmlns:a16="http://schemas.microsoft.com/office/drawing/2014/main" id="{00000000-0008-0000-0C00-00000B000000}"/>
            </a:ext>
          </a:extLst>
        </xdr:cNvPr>
        <xdr:cNvSpPr/>
      </xdr:nvSpPr>
      <xdr:spPr bwMode="auto">
        <a:xfrm>
          <a:off x="16625455" y="2893545"/>
          <a:ext cx="586663" cy="60655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editAs="oneCell">
    <xdr:from>
      <xdr:col>26</xdr:col>
      <xdr:colOff>769395</xdr:colOff>
      <xdr:row>19</xdr:row>
      <xdr:rowOff>28311</xdr:rowOff>
    </xdr:from>
    <xdr:to>
      <xdr:col>38</xdr:col>
      <xdr:colOff>117062</xdr:colOff>
      <xdr:row>32</xdr:row>
      <xdr:rowOff>155233</xdr:rowOff>
    </xdr:to>
    <xdr:pic>
      <xdr:nvPicPr>
        <xdr:cNvPr id="13" name="12 Imagen">
          <a:extLst>
            <a:ext uri="{FF2B5EF4-FFF2-40B4-BE49-F238E27FC236}">
              <a16:creationId xmlns:a16="http://schemas.microsoft.com/office/drawing/2014/main" id="{00000000-0008-0000-0C00-00000D000000}"/>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11769064" y="4092311"/>
          <a:ext cx="8727268" cy="3372350"/>
        </a:xfrm>
        <a:prstGeom prst="rect">
          <a:avLst/>
        </a:prstGeom>
        <a:ln>
          <a:noFill/>
        </a:ln>
        <a:extLst>
          <a:ext uri="{53640926-AAD7-44D8-BBD7-CCE9431645EC}">
            <a14:shadowObscured xmlns:a14="http://schemas.microsoft.com/office/drawing/2010/main"/>
          </a:ext>
        </a:extLst>
      </xdr:spPr>
    </xdr:pic>
    <xdr:clientData/>
  </xdr:twoCellAnchor>
  <xdr:twoCellAnchor>
    <xdr:from>
      <xdr:col>35</xdr:col>
      <xdr:colOff>117555</xdr:colOff>
      <xdr:row>21</xdr:row>
      <xdr:rowOff>67173</xdr:rowOff>
    </xdr:from>
    <xdr:to>
      <xdr:col>35</xdr:col>
      <xdr:colOff>709521</xdr:colOff>
      <xdr:row>23</xdr:row>
      <xdr:rowOff>109379</xdr:rowOff>
    </xdr:to>
    <xdr:sp macro="" textlink="">
      <xdr:nvSpPr>
        <xdr:cNvPr id="15" name="14 Elipse">
          <a:extLst>
            <a:ext uri="{FF2B5EF4-FFF2-40B4-BE49-F238E27FC236}">
              <a16:creationId xmlns:a16="http://schemas.microsoft.com/office/drawing/2014/main" id="{00000000-0008-0000-0C00-00000F000000}"/>
            </a:ext>
          </a:extLst>
        </xdr:cNvPr>
        <xdr:cNvSpPr/>
      </xdr:nvSpPr>
      <xdr:spPr bwMode="auto">
        <a:xfrm>
          <a:off x="18145257" y="4467041"/>
          <a:ext cx="591966" cy="61318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30</xdr:col>
      <xdr:colOff>403041</xdr:colOff>
      <xdr:row>22</xdr:row>
      <xdr:rowOff>277090</xdr:rowOff>
    </xdr:from>
    <xdr:to>
      <xdr:col>31</xdr:col>
      <xdr:colOff>470214</xdr:colOff>
      <xdr:row>25</xdr:row>
      <xdr:rowOff>100983</xdr:rowOff>
    </xdr:to>
    <xdr:sp macro="" textlink="">
      <xdr:nvSpPr>
        <xdr:cNvPr id="16" name="15 Elipse">
          <a:extLst>
            <a:ext uri="{FF2B5EF4-FFF2-40B4-BE49-F238E27FC236}">
              <a16:creationId xmlns:a16="http://schemas.microsoft.com/office/drawing/2014/main" id="{00000000-0008-0000-0C00-000010000000}"/>
            </a:ext>
          </a:extLst>
        </xdr:cNvPr>
        <xdr:cNvSpPr/>
      </xdr:nvSpPr>
      <xdr:spPr bwMode="auto">
        <a:xfrm>
          <a:off x="14526281" y="4962446"/>
          <a:ext cx="848065" cy="61318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37</xdr:col>
      <xdr:colOff>109156</xdr:colOff>
      <xdr:row>23</xdr:row>
      <xdr:rowOff>50380</xdr:rowOff>
    </xdr:from>
    <xdr:to>
      <xdr:col>37</xdr:col>
      <xdr:colOff>701122</xdr:colOff>
      <xdr:row>25</xdr:row>
      <xdr:rowOff>159760</xdr:rowOff>
    </xdr:to>
    <xdr:sp macro="" textlink="">
      <xdr:nvSpPr>
        <xdr:cNvPr id="17" name="16 Elipse">
          <a:extLst>
            <a:ext uri="{FF2B5EF4-FFF2-40B4-BE49-F238E27FC236}">
              <a16:creationId xmlns:a16="http://schemas.microsoft.com/office/drawing/2014/main" id="{00000000-0008-0000-0C00-000011000000}"/>
            </a:ext>
          </a:extLst>
        </xdr:cNvPr>
        <xdr:cNvSpPr/>
      </xdr:nvSpPr>
      <xdr:spPr bwMode="auto">
        <a:xfrm>
          <a:off x="19698644" y="5021223"/>
          <a:ext cx="591966" cy="61318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editAs="oneCell">
    <xdr:from>
      <xdr:col>27</xdr:col>
      <xdr:colOff>106302</xdr:colOff>
      <xdr:row>34</xdr:row>
      <xdr:rowOff>75570</xdr:rowOff>
    </xdr:from>
    <xdr:to>
      <xdr:col>37</xdr:col>
      <xdr:colOff>689305</xdr:colOff>
      <xdr:row>50</xdr:row>
      <xdr:rowOff>231298</xdr:rowOff>
    </xdr:to>
    <xdr:pic>
      <xdr:nvPicPr>
        <xdr:cNvPr id="14" name="13 Imagen">
          <a:extLst>
            <a:ext uri="{FF2B5EF4-FFF2-40B4-BE49-F238E27FC236}">
              <a16:creationId xmlns:a16="http://schemas.microsoft.com/office/drawing/2014/main" id="{00000000-0008-0000-0C00-00000E000000}"/>
            </a:ext>
          </a:extLst>
        </xdr:cNvPr>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bwMode="auto">
        <a:xfrm>
          <a:off x="11886864" y="7934876"/>
          <a:ext cx="8399549" cy="39380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26</xdr:col>
      <xdr:colOff>468085</xdr:colOff>
      <xdr:row>50</xdr:row>
      <xdr:rowOff>201521</xdr:rowOff>
    </xdr:from>
    <xdr:to>
      <xdr:col>37</xdr:col>
      <xdr:colOff>689305</xdr:colOff>
      <xdr:row>67</xdr:row>
      <xdr:rowOff>155728</xdr:rowOff>
    </xdr:to>
    <xdr:pic>
      <xdr:nvPicPr>
        <xdr:cNvPr id="18" name="17 Imagen">
          <a:extLst>
            <a:ext uri="{FF2B5EF4-FFF2-40B4-BE49-F238E27FC236}">
              <a16:creationId xmlns:a16="http://schemas.microsoft.com/office/drawing/2014/main" id="{00000000-0008-0000-0C00-000012000000}"/>
            </a:ext>
          </a:extLst>
        </xdr:cNvPr>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l="-3652"/>
        <a:stretch/>
      </xdr:blipFill>
      <xdr:spPr bwMode="auto">
        <a:xfrm>
          <a:off x="11467754" y="11839339"/>
          <a:ext cx="8818659" cy="2930447"/>
        </a:xfrm>
        <a:prstGeom prst="rect">
          <a:avLst/>
        </a:prstGeom>
        <a:ln>
          <a:noFill/>
        </a:ln>
        <a:extLst>
          <a:ext uri="{53640926-AAD7-44D8-BBD7-CCE9431645EC}">
            <a14:shadowObscured xmlns:a14="http://schemas.microsoft.com/office/drawing/2010/main"/>
          </a:ext>
        </a:extLst>
      </xdr:spPr>
    </xdr:pic>
    <xdr:clientData/>
  </xdr:twoCellAnchor>
  <xdr:twoCellAnchor>
    <xdr:from>
      <xdr:col>28</xdr:col>
      <xdr:colOff>663339</xdr:colOff>
      <xdr:row>41</xdr:row>
      <xdr:rowOff>100761</xdr:rowOff>
    </xdr:from>
    <xdr:to>
      <xdr:col>31</xdr:col>
      <xdr:colOff>419835</xdr:colOff>
      <xdr:row>43</xdr:row>
      <xdr:rowOff>193123</xdr:rowOff>
    </xdr:to>
    <xdr:sp macro="" textlink="">
      <xdr:nvSpPr>
        <xdr:cNvPr id="3" name="2 Elipse">
          <a:extLst>
            <a:ext uri="{FF2B5EF4-FFF2-40B4-BE49-F238E27FC236}">
              <a16:creationId xmlns:a16="http://schemas.microsoft.com/office/drawing/2014/main" id="{00000000-0008-0000-0C00-000003000000}"/>
            </a:ext>
          </a:extLst>
        </xdr:cNvPr>
        <xdr:cNvSpPr/>
      </xdr:nvSpPr>
      <xdr:spPr bwMode="auto">
        <a:xfrm>
          <a:off x="13224793" y="9698182"/>
          <a:ext cx="2099174" cy="50380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32</xdr:col>
      <xdr:colOff>109158</xdr:colOff>
      <xdr:row>34</xdr:row>
      <xdr:rowOff>75570</xdr:rowOff>
    </xdr:from>
    <xdr:to>
      <xdr:col>35</xdr:col>
      <xdr:colOff>0</xdr:colOff>
      <xdr:row>36</xdr:row>
      <xdr:rowOff>8396</xdr:rowOff>
    </xdr:to>
    <xdr:sp macro="" textlink="">
      <xdr:nvSpPr>
        <xdr:cNvPr id="5" name="4 Elipse">
          <a:extLst>
            <a:ext uri="{FF2B5EF4-FFF2-40B4-BE49-F238E27FC236}">
              <a16:creationId xmlns:a16="http://schemas.microsoft.com/office/drawing/2014/main" id="{00000000-0008-0000-0C00-000005000000}"/>
            </a:ext>
          </a:extLst>
        </xdr:cNvPr>
        <xdr:cNvSpPr/>
      </xdr:nvSpPr>
      <xdr:spPr bwMode="auto">
        <a:xfrm>
          <a:off x="15794182" y="7934876"/>
          <a:ext cx="2233520" cy="436628"/>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30</xdr:col>
      <xdr:colOff>75570</xdr:colOff>
      <xdr:row>51</xdr:row>
      <xdr:rowOff>83967</xdr:rowOff>
    </xdr:from>
    <xdr:to>
      <xdr:col>32</xdr:col>
      <xdr:colOff>8397</xdr:colOff>
      <xdr:row>54</xdr:row>
      <xdr:rowOff>8396</xdr:rowOff>
    </xdr:to>
    <xdr:sp macro="" textlink="">
      <xdr:nvSpPr>
        <xdr:cNvPr id="12" name="11 Elipse">
          <a:extLst>
            <a:ext uri="{FF2B5EF4-FFF2-40B4-BE49-F238E27FC236}">
              <a16:creationId xmlns:a16="http://schemas.microsoft.com/office/drawing/2014/main" id="{00000000-0008-0000-0C00-00000C000000}"/>
            </a:ext>
          </a:extLst>
        </xdr:cNvPr>
        <xdr:cNvSpPr/>
      </xdr:nvSpPr>
      <xdr:spPr bwMode="auto">
        <a:xfrm>
          <a:off x="14198810" y="11973686"/>
          <a:ext cx="1494611" cy="42823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editAs="oneCell">
    <xdr:from>
      <xdr:col>26</xdr:col>
      <xdr:colOff>677243</xdr:colOff>
      <xdr:row>68</xdr:row>
      <xdr:rowOff>103248</xdr:rowOff>
    </xdr:from>
    <xdr:to>
      <xdr:col>38</xdr:col>
      <xdr:colOff>187268</xdr:colOff>
      <xdr:row>89</xdr:row>
      <xdr:rowOff>79663</xdr:rowOff>
    </xdr:to>
    <xdr:pic>
      <xdr:nvPicPr>
        <xdr:cNvPr id="19" name="18 Imagen">
          <a:extLst>
            <a:ext uri="{FF2B5EF4-FFF2-40B4-BE49-F238E27FC236}">
              <a16:creationId xmlns:a16="http://schemas.microsoft.com/office/drawing/2014/main" id="{00000000-0008-0000-0C00-000013000000}"/>
            </a:ext>
          </a:extLst>
        </xdr:cNvPr>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bwMode="auto">
        <a:xfrm>
          <a:off x="11676912" y="14881430"/>
          <a:ext cx="8878196" cy="3532520"/>
        </a:xfrm>
        <a:prstGeom prst="rect">
          <a:avLst/>
        </a:prstGeom>
        <a:ln>
          <a:noFill/>
        </a:ln>
        <a:extLst>
          <a:ext uri="{53640926-AAD7-44D8-BBD7-CCE9431645EC}">
            <a14:shadowObscured xmlns:a14="http://schemas.microsoft.com/office/drawing/2010/main"/>
          </a:ext>
        </a:extLst>
      </xdr:spPr>
    </xdr:pic>
    <xdr:clientData/>
  </xdr:twoCellAnchor>
  <xdr:twoCellAnchor>
    <xdr:from>
      <xdr:col>34</xdr:col>
      <xdr:colOff>386248</xdr:colOff>
      <xdr:row>54</xdr:row>
      <xdr:rowOff>159537</xdr:rowOff>
    </xdr:from>
    <xdr:to>
      <xdr:col>37</xdr:col>
      <xdr:colOff>772496</xdr:colOff>
      <xdr:row>57</xdr:row>
      <xdr:rowOff>16794</xdr:rowOff>
    </xdr:to>
    <xdr:sp macro="" textlink="">
      <xdr:nvSpPr>
        <xdr:cNvPr id="20" name="19 Elipse">
          <a:extLst>
            <a:ext uri="{FF2B5EF4-FFF2-40B4-BE49-F238E27FC236}">
              <a16:creationId xmlns:a16="http://schemas.microsoft.com/office/drawing/2014/main" id="{00000000-0008-0000-0C00-000014000000}"/>
            </a:ext>
          </a:extLst>
        </xdr:cNvPr>
        <xdr:cNvSpPr/>
      </xdr:nvSpPr>
      <xdr:spPr bwMode="auto">
        <a:xfrm>
          <a:off x="17633058" y="12553058"/>
          <a:ext cx="2728926" cy="361058"/>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34</xdr:col>
      <xdr:colOff>260295</xdr:colOff>
      <xdr:row>62</xdr:row>
      <xdr:rowOff>67173</xdr:rowOff>
    </xdr:from>
    <xdr:to>
      <xdr:col>38</xdr:col>
      <xdr:colOff>16795</xdr:colOff>
      <xdr:row>64</xdr:row>
      <xdr:rowOff>142743</xdr:rowOff>
    </xdr:to>
    <xdr:sp macro="" textlink="">
      <xdr:nvSpPr>
        <xdr:cNvPr id="21" name="20 Elipse">
          <a:extLst>
            <a:ext uri="{FF2B5EF4-FFF2-40B4-BE49-F238E27FC236}">
              <a16:creationId xmlns:a16="http://schemas.microsoft.com/office/drawing/2014/main" id="{00000000-0008-0000-0C00-000015000000}"/>
            </a:ext>
          </a:extLst>
        </xdr:cNvPr>
        <xdr:cNvSpPr/>
      </xdr:nvSpPr>
      <xdr:spPr bwMode="auto">
        <a:xfrm>
          <a:off x="17507105" y="13812562"/>
          <a:ext cx="2880070" cy="411438"/>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29</xdr:col>
      <xdr:colOff>67173</xdr:colOff>
      <xdr:row>63</xdr:row>
      <xdr:rowOff>109157</xdr:rowOff>
    </xdr:from>
    <xdr:to>
      <xdr:col>33</xdr:col>
      <xdr:colOff>41983</xdr:colOff>
      <xdr:row>65</xdr:row>
      <xdr:rowOff>134347</xdr:rowOff>
    </xdr:to>
    <xdr:sp macro="" textlink="">
      <xdr:nvSpPr>
        <xdr:cNvPr id="22" name="21 Elipse">
          <a:extLst>
            <a:ext uri="{FF2B5EF4-FFF2-40B4-BE49-F238E27FC236}">
              <a16:creationId xmlns:a16="http://schemas.microsoft.com/office/drawing/2014/main" id="{00000000-0008-0000-0C00-000016000000}"/>
            </a:ext>
          </a:extLst>
        </xdr:cNvPr>
        <xdr:cNvSpPr/>
      </xdr:nvSpPr>
      <xdr:spPr bwMode="auto">
        <a:xfrm>
          <a:off x="13409520" y="14022479"/>
          <a:ext cx="3098381" cy="361058"/>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28</xdr:col>
      <xdr:colOff>235107</xdr:colOff>
      <xdr:row>83</xdr:row>
      <xdr:rowOff>25190</xdr:rowOff>
    </xdr:from>
    <xdr:to>
      <xdr:col>38</xdr:col>
      <xdr:colOff>100760</xdr:colOff>
      <xdr:row>86</xdr:row>
      <xdr:rowOff>134348</xdr:rowOff>
    </xdr:to>
    <xdr:sp macro="" textlink="">
      <xdr:nvSpPr>
        <xdr:cNvPr id="23" name="22 Elipse">
          <a:extLst>
            <a:ext uri="{FF2B5EF4-FFF2-40B4-BE49-F238E27FC236}">
              <a16:creationId xmlns:a16="http://schemas.microsoft.com/office/drawing/2014/main" id="{00000000-0008-0000-0C00-000017000000}"/>
            </a:ext>
          </a:extLst>
        </xdr:cNvPr>
        <xdr:cNvSpPr/>
      </xdr:nvSpPr>
      <xdr:spPr bwMode="auto">
        <a:xfrm>
          <a:off x="12796561" y="17372760"/>
          <a:ext cx="7674579" cy="612960"/>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38</xdr:col>
      <xdr:colOff>50380</xdr:colOff>
      <xdr:row>55</xdr:row>
      <xdr:rowOff>58778</xdr:rowOff>
    </xdr:from>
    <xdr:to>
      <xdr:col>38</xdr:col>
      <xdr:colOff>755703</xdr:colOff>
      <xdr:row>56</xdr:row>
      <xdr:rowOff>50381</xdr:rowOff>
    </xdr:to>
    <xdr:sp macro="" textlink="">
      <xdr:nvSpPr>
        <xdr:cNvPr id="24" name="23 Flecha derecha">
          <a:extLst>
            <a:ext uri="{FF2B5EF4-FFF2-40B4-BE49-F238E27FC236}">
              <a16:creationId xmlns:a16="http://schemas.microsoft.com/office/drawing/2014/main" id="{00000000-0008-0000-0C00-000018000000}"/>
            </a:ext>
          </a:extLst>
        </xdr:cNvPr>
        <xdr:cNvSpPr/>
      </xdr:nvSpPr>
      <xdr:spPr bwMode="auto">
        <a:xfrm>
          <a:off x="20420760" y="12620232"/>
          <a:ext cx="705323" cy="159538"/>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38</xdr:col>
      <xdr:colOff>67173</xdr:colOff>
      <xdr:row>63</xdr:row>
      <xdr:rowOff>33587</xdr:rowOff>
    </xdr:from>
    <xdr:to>
      <xdr:col>38</xdr:col>
      <xdr:colOff>747306</xdr:colOff>
      <xdr:row>64</xdr:row>
      <xdr:rowOff>16793</xdr:rowOff>
    </xdr:to>
    <xdr:sp macro="" textlink="">
      <xdr:nvSpPr>
        <xdr:cNvPr id="25" name="24 Flecha derecha">
          <a:extLst>
            <a:ext uri="{FF2B5EF4-FFF2-40B4-BE49-F238E27FC236}">
              <a16:creationId xmlns:a16="http://schemas.microsoft.com/office/drawing/2014/main" id="{00000000-0008-0000-0C00-000019000000}"/>
            </a:ext>
          </a:extLst>
        </xdr:cNvPr>
        <xdr:cNvSpPr/>
      </xdr:nvSpPr>
      <xdr:spPr bwMode="auto">
        <a:xfrm>
          <a:off x="20437553" y="13946909"/>
          <a:ext cx="680133" cy="151141"/>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32</xdr:col>
      <xdr:colOff>436627</xdr:colOff>
      <xdr:row>65</xdr:row>
      <xdr:rowOff>29851</xdr:rowOff>
    </xdr:from>
    <xdr:to>
      <xdr:col>38</xdr:col>
      <xdr:colOff>764099</xdr:colOff>
      <xdr:row>66</xdr:row>
      <xdr:rowOff>33587</xdr:rowOff>
    </xdr:to>
    <xdr:sp macro="" textlink="">
      <xdr:nvSpPr>
        <xdr:cNvPr id="26" name="25 Flecha derecha">
          <a:extLst>
            <a:ext uri="{FF2B5EF4-FFF2-40B4-BE49-F238E27FC236}">
              <a16:creationId xmlns:a16="http://schemas.microsoft.com/office/drawing/2014/main" id="{00000000-0008-0000-0C00-00001A000000}"/>
            </a:ext>
          </a:extLst>
        </xdr:cNvPr>
        <xdr:cNvSpPr/>
      </xdr:nvSpPr>
      <xdr:spPr bwMode="auto">
        <a:xfrm>
          <a:off x="16121651" y="14279041"/>
          <a:ext cx="5012828" cy="171670"/>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38</xdr:col>
      <xdr:colOff>151140</xdr:colOff>
      <xdr:row>84</xdr:row>
      <xdr:rowOff>159536</xdr:rowOff>
    </xdr:from>
    <xdr:to>
      <xdr:col>38</xdr:col>
      <xdr:colOff>579371</xdr:colOff>
      <xdr:row>85</xdr:row>
      <xdr:rowOff>163271</xdr:rowOff>
    </xdr:to>
    <xdr:sp macro="" textlink="">
      <xdr:nvSpPr>
        <xdr:cNvPr id="27" name="26 Flecha derecha">
          <a:extLst>
            <a:ext uri="{FF2B5EF4-FFF2-40B4-BE49-F238E27FC236}">
              <a16:creationId xmlns:a16="http://schemas.microsoft.com/office/drawing/2014/main" id="{00000000-0008-0000-0C00-00001B000000}"/>
            </a:ext>
          </a:extLst>
        </xdr:cNvPr>
        <xdr:cNvSpPr/>
      </xdr:nvSpPr>
      <xdr:spPr bwMode="auto">
        <a:xfrm>
          <a:off x="20521520" y="17675040"/>
          <a:ext cx="428231" cy="171669"/>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34</xdr:col>
      <xdr:colOff>713720</xdr:colOff>
      <xdr:row>34</xdr:row>
      <xdr:rowOff>226712</xdr:rowOff>
    </xdr:from>
    <xdr:to>
      <xdr:col>37</xdr:col>
      <xdr:colOff>671735</xdr:colOff>
      <xdr:row>36</xdr:row>
      <xdr:rowOff>8396</xdr:rowOff>
    </xdr:to>
    <xdr:sp macro="" textlink="">
      <xdr:nvSpPr>
        <xdr:cNvPr id="28" name="27 Flecha derecha">
          <a:extLst>
            <a:ext uri="{FF2B5EF4-FFF2-40B4-BE49-F238E27FC236}">
              <a16:creationId xmlns:a16="http://schemas.microsoft.com/office/drawing/2014/main" id="{00000000-0008-0000-0C00-00001C000000}"/>
            </a:ext>
          </a:extLst>
        </xdr:cNvPr>
        <xdr:cNvSpPr/>
      </xdr:nvSpPr>
      <xdr:spPr bwMode="auto">
        <a:xfrm>
          <a:off x="17960530" y="8086018"/>
          <a:ext cx="2300693" cy="285486"/>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31</xdr:col>
      <xdr:colOff>772496</xdr:colOff>
      <xdr:row>52</xdr:row>
      <xdr:rowOff>0</xdr:rowOff>
    </xdr:from>
    <xdr:to>
      <xdr:col>38</xdr:col>
      <xdr:colOff>713719</xdr:colOff>
      <xdr:row>53</xdr:row>
      <xdr:rowOff>8396</xdr:rowOff>
    </xdr:to>
    <xdr:sp macro="" textlink="">
      <xdr:nvSpPr>
        <xdr:cNvPr id="29" name="28 Flecha derecha">
          <a:extLst>
            <a:ext uri="{FF2B5EF4-FFF2-40B4-BE49-F238E27FC236}">
              <a16:creationId xmlns:a16="http://schemas.microsoft.com/office/drawing/2014/main" id="{00000000-0008-0000-0C00-00001D000000}"/>
            </a:ext>
          </a:extLst>
        </xdr:cNvPr>
        <xdr:cNvSpPr/>
      </xdr:nvSpPr>
      <xdr:spPr bwMode="auto">
        <a:xfrm>
          <a:off x="15676628" y="12057653"/>
          <a:ext cx="5407471" cy="176330"/>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37</xdr:col>
      <xdr:colOff>700772</xdr:colOff>
      <xdr:row>59</xdr:row>
      <xdr:rowOff>135547</xdr:rowOff>
    </xdr:from>
    <xdr:to>
      <xdr:col>38</xdr:col>
      <xdr:colOff>775388</xdr:colOff>
      <xdr:row>60</xdr:row>
      <xdr:rowOff>150529</xdr:rowOff>
    </xdr:to>
    <xdr:sp macro="" textlink="">
      <xdr:nvSpPr>
        <xdr:cNvPr id="30" name="29 Flecha derecha">
          <a:extLst>
            <a:ext uri="{FF2B5EF4-FFF2-40B4-BE49-F238E27FC236}">
              <a16:creationId xmlns:a16="http://schemas.microsoft.com/office/drawing/2014/main" id="{00000000-0008-0000-0C00-00001E000000}"/>
            </a:ext>
          </a:extLst>
        </xdr:cNvPr>
        <xdr:cNvSpPr/>
      </xdr:nvSpPr>
      <xdr:spPr bwMode="auto">
        <a:xfrm rot="1375982">
          <a:off x="20290260" y="13377134"/>
          <a:ext cx="855508" cy="182916"/>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34</xdr:col>
      <xdr:colOff>285486</xdr:colOff>
      <xdr:row>26</xdr:row>
      <xdr:rowOff>151141</xdr:rowOff>
    </xdr:from>
    <xdr:to>
      <xdr:col>37</xdr:col>
      <xdr:colOff>596163</xdr:colOff>
      <xdr:row>27</xdr:row>
      <xdr:rowOff>125951</xdr:rowOff>
    </xdr:to>
    <xdr:sp macro="" textlink="">
      <xdr:nvSpPr>
        <xdr:cNvPr id="31" name="30 Elipse">
          <a:extLst>
            <a:ext uri="{FF2B5EF4-FFF2-40B4-BE49-F238E27FC236}">
              <a16:creationId xmlns:a16="http://schemas.microsoft.com/office/drawing/2014/main" id="{00000000-0008-0000-0C00-00001F000000}"/>
            </a:ext>
          </a:extLst>
        </xdr:cNvPr>
        <xdr:cNvSpPr/>
      </xdr:nvSpPr>
      <xdr:spPr bwMode="auto">
        <a:xfrm>
          <a:off x="17532296" y="5877687"/>
          <a:ext cx="2653355" cy="260297"/>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37</xdr:col>
      <xdr:colOff>637151</xdr:colOff>
      <xdr:row>25</xdr:row>
      <xdr:rowOff>240630</xdr:rowOff>
    </xdr:from>
    <xdr:to>
      <xdr:col>39</xdr:col>
      <xdr:colOff>11857</xdr:colOff>
      <xdr:row>26</xdr:row>
      <xdr:rowOff>172537</xdr:rowOff>
    </xdr:to>
    <xdr:sp macro="" textlink="">
      <xdr:nvSpPr>
        <xdr:cNvPr id="32" name="31 Flecha derecha">
          <a:extLst>
            <a:ext uri="{FF2B5EF4-FFF2-40B4-BE49-F238E27FC236}">
              <a16:creationId xmlns:a16="http://schemas.microsoft.com/office/drawing/2014/main" id="{00000000-0008-0000-0C00-000020000000}"/>
            </a:ext>
          </a:extLst>
        </xdr:cNvPr>
        <xdr:cNvSpPr/>
      </xdr:nvSpPr>
      <xdr:spPr bwMode="auto">
        <a:xfrm rot="20469654">
          <a:off x="20226639" y="5715274"/>
          <a:ext cx="936490" cy="183809"/>
        </a:xfrm>
        <a:prstGeom prst="rightArrow">
          <a:avLst/>
        </a:prstGeom>
        <a:solidFill>
          <a:srgbClr val="99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s-ES" sz="1100"/>
        </a:p>
      </xdr:txBody>
    </xdr:sp>
    <xdr:clientData/>
  </xdr:twoCellAnchor>
  <xdr:twoCellAnchor>
    <xdr:from>
      <xdr:col>30</xdr:col>
      <xdr:colOff>41981</xdr:colOff>
      <xdr:row>7</xdr:row>
      <xdr:rowOff>58777</xdr:rowOff>
    </xdr:from>
    <xdr:to>
      <xdr:col>31</xdr:col>
      <xdr:colOff>327470</xdr:colOff>
      <xdr:row>10</xdr:row>
      <xdr:rowOff>8619</xdr:rowOff>
    </xdr:to>
    <xdr:sp macro="" textlink="">
      <xdr:nvSpPr>
        <xdr:cNvPr id="33" name="32 Elipse">
          <a:extLst>
            <a:ext uri="{FF2B5EF4-FFF2-40B4-BE49-F238E27FC236}">
              <a16:creationId xmlns:a16="http://schemas.microsoft.com/office/drawing/2014/main" id="{00000000-0008-0000-0C00-000021000000}"/>
            </a:ext>
          </a:extLst>
        </xdr:cNvPr>
        <xdr:cNvSpPr/>
      </xdr:nvSpPr>
      <xdr:spPr bwMode="auto">
        <a:xfrm>
          <a:off x="14165221" y="1402248"/>
          <a:ext cx="1066381" cy="462040"/>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twoCellAnchor>
    <xdr:from>
      <xdr:col>30</xdr:col>
      <xdr:colOff>268694</xdr:colOff>
      <xdr:row>18</xdr:row>
      <xdr:rowOff>167933</xdr:rowOff>
    </xdr:from>
    <xdr:to>
      <xdr:col>31</xdr:col>
      <xdr:colOff>604562</xdr:colOff>
      <xdr:row>21</xdr:row>
      <xdr:rowOff>193345</xdr:rowOff>
    </xdr:to>
    <xdr:sp macro="" textlink="">
      <xdr:nvSpPr>
        <xdr:cNvPr id="34" name="33 Elipse">
          <a:extLst>
            <a:ext uri="{FF2B5EF4-FFF2-40B4-BE49-F238E27FC236}">
              <a16:creationId xmlns:a16="http://schemas.microsoft.com/office/drawing/2014/main" id="{00000000-0008-0000-0C00-000022000000}"/>
            </a:ext>
          </a:extLst>
        </xdr:cNvPr>
        <xdr:cNvSpPr/>
      </xdr:nvSpPr>
      <xdr:spPr bwMode="auto">
        <a:xfrm>
          <a:off x="14391934" y="3980032"/>
          <a:ext cx="1116760" cy="613181"/>
        </a:xfrm>
        <a:prstGeom prst="ellipse">
          <a:avLst/>
        </a:prstGeom>
        <a:noFill/>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osi.us.es/sites/osi/files/doc/pd/cigestioninvestigacion.pdf"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https://investigacion.us.es/area-investigacion/procedimientos/instrucciones/ministerio"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s://investigacion.us.es/docs/area/solicitud_de_transferencia_al_exterior.doc" TargetMode="External"/><Relationship Id="rId7" Type="http://schemas.openxmlformats.org/officeDocument/2006/relationships/drawing" Target="../drawings/drawing6.xml"/><Relationship Id="rId2" Type="http://schemas.openxmlformats.org/officeDocument/2006/relationships/hyperlink" Target="https://investigacion.us.es/docs/area/solicitud_de_transferencia_al_exterior.doc" TargetMode="External"/><Relationship Id="rId1" Type="http://schemas.openxmlformats.org/officeDocument/2006/relationships/hyperlink" Target="https://investigacion.us.es/docs/area/declaracion_de_compatibilidad_art_19_ley_53_1984.doc" TargetMode="External"/><Relationship Id="rId6" Type="http://schemas.openxmlformats.org/officeDocument/2006/relationships/printerSettings" Target="../printerSettings/printerSettings11.bin"/><Relationship Id="rId5" Type="http://schemas.openxmlformats.org/officeDocument/2006/relationships/hyperlink" Target="https://investigacion.us.es/docs/area/solicitud_alta_terceros_con_dni_pasaporte.docx" TargetMode="External"/><Relationship Id="rId4" Type="http://schemas.openxmlformats.org/officeDocument/2006/relationships/hyperlink" Target="https://investigacion.us.es/docs/area/documentacion_necesaria_para_alta_de_terceros.docx" TargetMode="External"/><Relationship Id="rId9"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3" Type="http://schemas.openxmlformats.org/officeDocument/2006/relationships/hyperlink" Target="https://www.agenciatributaria.es/AEAT.internet/Inicio/La_Agencia_Tributaria/Normativa/Fiscalidad_Internacional/Convenios_de_doble_imposicion_firmados_por_Espana/Convenios_de_doble_imposicion_firmados_por_Espana.shtml" TargetMode="External"/><Relationship Id="rId2" Type="http://schemas.openxmlformats.org/officeDocument/2006/relationships/hyperlink" Target="https://www.agenciatributaria.es/AEAT.internet/Inicio/La_Agencia_Tributaria/Normativa/Fiscalidad_Internacional/Convenios_de_doble_imposicion_firmados_por_Espana/Convenios_de_doble_imposicion_firmados_por_Espana.shtml" TargetMode="External"/><Relationship Id="rId1" Type="http://schemas.openxmlformats.org/officeDocument/2006/relationships/hyperlink" Target="http://www.boe.es/boe/dias/2014/11/28/pdfs/BOE-A-2014-12327.pdf" TargetMode="External"/><Relationship Id="rId5" Type="http://schemas.openxmlformats.org/officeDocument/2006/relationships/printerSettings" Target="../printerSettings/printerSettings12.bin"/><Relationship Id="rId4" Type="http://schemas.openxmlformats.org/officeDocument/2006/relationships/hyperlink" Target="https://bit.ly/2OauxK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N51"/>
  <sheetViews>
    <sheetView showGridLines="0" tabSelected="1" zoomScaleNormal="100" workbookViewId="0">
      <selection activeCell="C8" sqref="C8:G9"/>
    </sheetView>
  </sheetViews>
  <sheetFormatPr baseColWidth="10" defaultColWidth="11.44140625" defaultRowHeight="13.2" x14ac:dyDescent="0.25"/>
  <cols>
    <col min="1" max="1" width="11.44140625" style="7"/>
    <col min="2" max="2" width="11.44140625" style="7" customWidth="1"/>
    <col min="3" max="10" width="11.44140625" style="7"/>
    <col min="11" max="11" width="12.44140625" style="7" customWidth="1"/>
    <col min="12" max="12" width="13.109375" style="7" customWidth="1"/>
    <col min="13" max="13" width="15.6640625" style="7" customWidth="1"/>
    <col min="14" max="14" width="11.44140625" style="7"/>
  </cols>
  <sheetData>
    <row r="1" spans="1:14" x14ac:dyDescent="0.25">
      <c r="M1" s="700" t="s">
        <v>1225</v>
      </c>
      <c r="N1" s="585">
        <v>46288</v>
      </c>
    </row>
    <row r="2" spans="1:14" x14ac:dyDescent="0.25">
      <c r="A2"/>
      <c r="B2"/>
      <c r="C2"/>
      <c r="D2"/>
      <c r="E2"/>
      <c r="F2"/>
      <c r="G2"/>
      <c r="H2"/>
      <c r="I2"/>
      <c r="J2"/>
      <c r="K2"/>
      <c r="L2"/>
    </row>
    <row r="3" spans="1:14" x14ac:dyDescent="0.25">
      <c r="A3"/>
      <c r="B3"/>
      <c r="C3"/>
      <c r="D3"/>
      <c r="E3"/>
      <c r="F3"/>
      <c r="G3"/>
      <c r="H3"/>
      <c r="I3"/>
      <c r="J3"/>
      <c r="K3"/>
      <c r="L3"/>
    </row>
    <row r="4" spans="1:14" x14ac:dyDescent="0.25">
      <c r="A4"/>
      <c r="B4"/>
      <c r="C4"/>
      <c r="D4"/>
      <c r="E4"/>
      <c r="F4"/>
      <c r="G4"/>
      <c r="H4"/>
      <c r="I4"/>
      <c r="J4"/>
      <c r="K4"/>
      <c r="L4"/>
    </row>
    <row r="5" spans="1:14" x14ac:dyDescent="0.25">
      <c r="A5"/>
      <c r="B5"/>
      <c r="C5"/>
      <c r="D5"/>
      <c r="E5"/>
      <c r="F5"/>
      <c r="G5"/>
      <c r="H5"/>
      <c r="I5"/>
      <c r="J5"/>
      <c r="K5"/>
      <c r="L5"/>
    </row>
    <row r="6" spans="1:14" x14ac:dyDescent="0.25">
      <c r="A6"/>
      <c r="B6"/>
      <c r="C6"/>
      <c r="D6"/>
      <c r="E6"/>
      <c r="F6"/>
      <c r="G6"/>
      <c r="H6"/>
      <c r="I6"/>
      <c r="J6"/>
      <c r="K6"/>
      <c r="L6"/>
      <c r="M6"/>
    </row>
    <row r="7" spans="1:14" ht="13.8" thickBot="1" x14ac:dyDescent="0.3">
      <c r="C7" s="578" t="s">
        <v>0</v>
      </c>
    </row>
    <row r="8" spans="1:14" ht="15.6" thickTop="1" x14ac:dyDescent="0.25">
      <c r="C8" s="1333" t="s">
        <v>1</v>
      </c>
      <c r="D8" s="1334"/>
      <c r="E8" s="1334"/>
      <c r="F8" s="1334"/>
      <c r="G8" s="1335"/>
      <c r="H8" s="322"/>
      <c r="I8" s="1333" t="s">
        <v>2</v>
      </c>
      <c r="J8" s="1334"/>
      <c r="K8" s="1334"/>
      <c r="L8" s="1334"/>
      <c r="M8" s="1335"/>
      <c r="N8" s="458"/>
    </row>
    <row r="9" spans="1:14" ht="14.7" customHeight="1" thickBot="1" x14ac:dyDescent="0.3">
      <c r="C9" s="1336"/>
      <c r="D9" s="1337"/>
      <c r="E9" s="1337"/>
      <c r="F9" s="1337"/>
      <c r="G9" s="1338"/>
      <c r="I9" s="1336"/>
      <c r="J9" s="1337"/>
      <c r="K9" s="1337"/>
      <c r="L9" s="1337"/>
      <c r="M9" s="1338"/>
    </row>
    <row r="10" spans="1:14" ht="13.8" thickTop="1" x14ac:dyDescent="0.25">
      <c r="G10"/>
      <c r="H10"/>
      <c r="I10"/>
      <c r="J10"/>
      <c r="K10"/>
    </row>
    <row r="11" spans="1:14" x14ac:dyDescent="0.25">
      <c r="A11"/>
      <c r="B11"/>
      <c r="C11" s="1084" t="s">
        <v>3</v>
      </c>
      <c r="D11"/>
      <c r="E11"/>
      <c r="F11"/>
      <c r="G11"/>
      <c r="H11"/>
      <c r="I11" s="67" t="s">
        <v>4</v>
      </c>
      <c r="J11"/>
      <c r="K11"/>
      <c r="L11"/>
      <c r="M11"/>
      <c r="N11"/>
    </row>
    <row r="12" spans="1:14" x14ac:dyDescent="0.25">
      <c r="A12"/>
      <c r="B12"/>
      <c r="C12" s="1084" t="s">
        <v>5</v>
      </c>
      <c r="D12"/>
      <c r="E12"/>
      <c r="F12"/>
      <c r="G12"/>
      <c r="H12"/>
      <c r="I12" s="67" t="s">
        <v>6</v>
      </c>
      <c r="J12"/>
      <c r="K12"/>
      <c r="L12"/>
      <c r="M12"/>
      <c r="N12"/>
    </row>
    <row r="13" spans="1:14" x14ac:dyDescent="0.25">
      <c r="A13"/>
      <c r="B13"/>
      <c r="C13" s="1084" t="s">
        <v>7</v>
      </c>
      <c r="D13"/>
      <c r="E13"/>
      <c r="F13"/>
      <c r="G13"/>
      <c r="H13"/>
      <c r="I13"/>
      <c r="J13"/>
      <c r="K13"/>
      <c r="L13"/>
      <c r="M13"/>
      <c r="N13"/>
    </row>
    <row r="14" spans="1:14" x14ac:dyDescent="0.25">
      <c r="A14"/>
      <c r="B14"/>
      <c r="D14"/>
      <c r="E14"/>
      <c r="F14"/>
      <c r="G14"/>
      <c r="H14"/>
      <c r="I14"/>
      <c r="J14"/>
      <c r="K14"/>
      <c r="L14"/>
      <c r="M14"/>
      <c r="N14"/>
    </row>
    <row r="15" spans="1:14" x14ac:dyDescent="0.25">
      <c r="A15"/>
      <c r="B15"/>
      <c r="C15" s="67"/>
      <c r="D15"/>
      <c r="E15"/>
      <c r="F15"/>
      <c r="G15"/>
      <c r="H15"/>
      <c r="I15"/>
      <c r="J15"/>
      <c r="K15"/>
      <c r="L15"/>
      <c r="M15"/>
      <c r="N15"/>
    </row>
    <row r="16" spans="1:14" x14ac:dyDescent="0.25">
      <c r="A16"/>
      <c r="B16"/>
      <c r="C16"/>
      <c r="D16"/>
      <c r="E16"/>
      <c r="F16"/>
      <c r="G16"/>
      <c r="H16"/>
      <c r="I16"/>
      <c r="J16"/>
      <c r="K16"/>
      <c r="L16"/>
      <c r="M16"/>
      <c r="N16"/>
    </row>
    <row r="17" customFormat="1" x14ac:dyDescent="0.25"/>
    <row r="18" customFormat="1" x14ac:dyDescent="0.25"/>
    <row r="19" customFormat="1" hidden="1" x14ac:dyDescent="0.25"/>
    <row r="20" customFormat="1" hidden="1" x14ac:dyDescent="0.25"/>
    <row r="21" customFormat="1" hidden="1" x14ac:dyDescent="0.25"/>
    <row r="22" customFormat="1" hidden="1" x14ac:dyDescent="0.25"/>
    <row r="23" customFormat="1" hidden="1" x14ac:dyDescent="0.25"/>
    <row r="24" customFormat="1" x14ac:dyDescent="0.25"/>
    <row r="25" customFormat="1" x14ac:dyDescent="0.25"/>
    <row r="26"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sheetData>
  <sheetProtection algorithmName="SHA-512" hashValue="fwfC8Pi1w2lF7GQe+V3/G3CAb7xgTF/nl8lqcy42YaETuu7koDbyyS7oD2o8S12zcj69jxhSWdjez2YN4cm2Hw==" saltValue="LDdn8SgW1yHkepE+fqXbAQ==" spinCount="100000" sheet="1" objects="1" scenarios="1" selectLockedCells="1"/>
  <mergeCells count="2">
    <mergeCell ref="I8:M9"/>
    <mergeCell ref="C8:G9"/>
  </mergeCells>
  <hyperlinks>
    <hyperlink ref="I8:M9" location="CONFERENCIANTES!C12" display="Pago a Conferenciantes (Ministerio/Junta)" xr:uid="{00000000-0004-0000-0000-000000000000}"/>
    <hyperlink ref="C8:G9" location="FORMULARIO!A1" display="FORMULARIO DE LIQUIDACIÓN" xr:uid="{00000000-0004-0000-0000-000001000000}"/>
  </hyperlinks>
  <printOptions horizontalCentered="1" verticalCentered="1"/>
  <pageMargins left="0" right="0" top="0" bottom="0" header="0" footer="0"/>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147"/>
  <sheetViews>
    <sheetView showGridLines="0" zoomScale="109" zoomScaleNormal="100" workbookViewId="0">
      <selection activeCell="D2" sqref="D2"/>
    </sheetView>
  </sheetViews>
  <sheetFormatPr baseColWidth="10" defaultColWidth="11.44140625" defaultRowHeight="13.2" x14ac:dyDescent="0.25"/>
  <cols>
    <col min="1" max="1" width="7" customWidth="1"/>
  </cols>
  <sheetData>
    <row r="2" spans="2:8" x14ac:dyDescent="0.25">
      <c r="D2" s="1"/>
      <c r="E2" s="1339" t="s">
        <v>692</v>
      </c>
      <c r="F2" s="1339"/>
      <c r="G2" s="1339"/>
      <c r="H2" s="1339"/>
    </row>
    <row r="3" spans="2:8" x14ac:dyDescent="0.25">
      <c r="E3" s="67"/>
    </row>
    <row r="4" spans="2:8" x14ac:dyDescent="0.25">
      <c r="B4" s="67" t="s">
        <v>1190</v>
      </c>
    </row>
    <row r="5" spans="2:8" x14ac:dyDescent="0.25">
      <c r="B5" s="67" t="s">
        <v>1191</v>
      </c>
    </row>
    <row r="7" spans="2:8" x14ac:dyDescent="0.25">
      <c r="B7" s="67" t="s">
        <v>693</v>
      </c>
    </row>
    <row r="8" spans="2:8" x14ac:dyDescent="0.25">
      <c r="B8" s="67" t="s">
        <v>694</v>
      </c>
    </row>
    <row r="9" spans="2:8" x14ac:dyDescent="0.25">
      <c r="B9" s="67" t="s">
        <v>695</v>
      </c>
    </row>
    <row r="10" spans="2:8" x14ac:dyDescent="0.25">
      <c r="B10" s="67"/>
    </row>
    <row r="11" spans="2:8" x14ac:dyDescent="0.25">
      <c r="B11" s="3" t="s">
        <v>1189</v>
      </c>
    </row>
    <row r="12" spans="2:8" x14ac:dyDescent="0.25">
      <c r="B12" s="3"/>
    </row>
    <row r="13" spans="2:8" x14ac:dyDescent="0.25">
      <c r="B13" s="67" t="s">
        <v>696</v>
      </c>
    </row>
    <row r="14" spans="2:8" x14ac:dyDescent="0.25">
      <c r="B14" s="67" t="s">
        <v>697</v>
      </c>
    </row>
    <row r="15" spans="2:8" x14ac:dyDescent="0.25">
      <c r="B15" s="67" t="s">
        <v>698</v>
      </c>
    </row>
    <row r="16" spans="2:8" x14ac:dyDescent="0.25">
      <c r="B16" s="67" t="s">
        <v>699</v>
      </c>
    </row>
    <row r="17" spans="2:14" x14ac:dyDescent="0.25">
      <c r="B17" s="67" t="s">
        <v>700</v>
      </c>
    </row>
    <row r="18" spans="2:14" x14ac:dyDescent="0.25">
      <c r="B18" s="67" t="s">
        <v>701</v>
      </c>
    </row>
    <row r="19" spans="2:14" x14ac:dyDescent="0.25">
      <c r="B19" s="67"/>
    </row>
    <row r="20" spans="2:14" ht="13.8" x14ac:dyDescent="0.25">
      <c r="B20" s="67" t="s">
        <v>702</v>
      </c>
    </row>
    <row r="21" spans="2:14" x14ac:dyDescent="0.25">
      <c r="B21" s="67" t="s">
        <v>703</v>
      </c>
    </row>
    <row r="22" spans="2:14" s="2" customFormat="1" ht="24" customHeight="1" x14ac:dyDescent="0.25">
      <c r="B22" s="1359" t="s">
        <v>704</v>
      </c>
      <c r="C22" s="1359"/>
      <c r="D22" s="1359"/>
      <c r="E22" s="1359"/>
      <c r="F22" s="1359"/>
      <c r="G22" s="1359"/>
      <c r="H22" s="1359"/>
      <c r="I22" s="1359"/>
      <c r="J22" s="1359"/>
      <c r="K22" s="1359"/>
      <c r="L22" s="1359"/>
      <c r="M22" s="1359"/>
      <c r="N22" s="1359"/>
    </row>
    <row r="23" spans="2:14" s="2" customFormat="1" ht="24" customHeight="1" x14ac:dyDescent="0.25">
      <c r="B23" s="1359"/>
      <c r="C23" s="1359"/>
      <c r="D23" s="1359"/>
      <c r="E23" s="1359"/>
      <c r="F23" s="1359"/>
      <c r="G23" s="1359"/>
      <c r="H23" s="1359"/>
      <c r="I23" s="1359"/>
      <c r="J23" s="1359"/>
      <c r="K23" s="1359"/>
      <c r="L23" s="1359"/>
      <c r="M23" s="1359"/>
      <c r="N23" s="1359"/>
    </row>
    <row r="25" spans="2:14" x14ac:dyDescent="0.25">
      <c r="B25" s="67" t="s">
        <v>705</v>
      </c>
    </row>
    <row r="26" spans="2:14" x14ac:dyDescent="0.25">
      <c r="B26" s="67" t="s">
        <v>706</v>
      </c>
    </row>
    <row r="28" spans="2:14" x14ac:dyDescent="0.25">
      <c r="B28" s="67" t="s">
        <v>707</v>
      </c>
    </row>
    <row r="29" spans="2:14" x14ac:dyDescent="0.25">
      <c r="B29" s="67"/>
    </row>
    <row r="30" spans="2:14" ht="13.8" x14ac:dyDescent="0.25">
      <c r="B30" s="613" t="s">
        <v>708</v>
      </c>
    </row>
    <row r="32" spans="2:14" ht="13.8" x14ac:dyDescent="0.25">
      <c r="B32" s="613" t="s">
        <v>709</v>
      </c>
    </row>
    <row r="33" spans="2:13" x14ac:dyDescent="0.25">
      <c r="B33" s="67" t="s">
        <v>710</v>
      </c>
    </row>
    <row r="34" spans="2:13" ht="13.8" x14ac:dyDescent="0.25">
      <c r="B34" s="613" t="s">
        <v>711</v>
      </c>
    </row>
    <row r="35" spans="2:13" ht="13.8" x14ac:dyDescent="0.25">
      <c r="B35" s="613" t="s">
        <v>712</v>
      </c>
    </row>
    <row r="36" spans="2:13" ht="13.8" x14ac:dyDescent="0.25">
      <c r="B36" s="613"/>
    </row>
    <row r="37" spans="2:13" x14ac:dyDescent="0.25">
      <c r="B37" s="3" t="s">
        <v>713</v>
      </c>
    </row>
    <row r="38" spans="2:13" x14ac:dyDescent="0.25">
      <c r="B38" s="67" t="s">
        <v>714</v>
      </c>
    </row>
    <row r="39" spans="2:13" ht="13.8" x14ac:dyDescent="0.25">
      <c r="B39" s="613" t="s">
        <v>715</v>
      </c>
    </row>
    <row r="40" spans="2:13" x14ac:dyDescent="0.25">
      <c r="B40" s="67" t="s">
        <v>716</v>
      </c>
    </row>
    <row r="41" spans="2:13" x14ac:dyDescent="0.25">
      <c r="B41" s="67" t="s">
        <v>717</v>
      </c>
    </row>
    <row r="42" spans="2:13" x14ac:dyDescent="0.25">
      <c r="B42" s="67" t="s">
        <v>718</v>
      </c>
    </row>
    <row r="44" spans="2:13" x14ac:dyDescent="0.25">
      <c r="B44" s="3" t="s">
        <v>719</v>
      </c>
    </row>
    <row r="45" spans="2:13" x14ac:dyDescent="0.25">
      <c r="B45" s="3" t="s">
        <v>720</v>
      </c>
    </row>
    <row r="46" spans="2:13" x14ac:dyDescent="0.25">
      <c r="B46" s="1358" t="s">
        <v>721</v>
      </c>
      <c r="C46" s="1358"/>
      <c r="D46" s="1358"/>
      <c r="E46" s="1358"/>
      <c r="F46" s="1358"/>
      <c r="G46" s="1358"/>
      <c r="H46" s="1358"/>
      <c r="I46" s="1358"/>
      <c r="J46" s="1358"/>
      <c r="K46" s="1358"/>
      <c r="L46" s="1358"/>
      <c r="M46" s="1358"/>
    </row>
    <row r="47" spans="2:13" x14ac:dyDescent="0.25">
      <c r="B47" s="1358"/>
      <c r="C47" s="1358"/>
      <c r="D47" s="1358"/>
      <c r="E47" s="1358"/>
      <c r="F47" s="1358"/>
      <c r="G47" s="1358"/>
      <c r="H47" s="1358"/>
      <c r="I47" s="1358"/>
      <c r="J47" s="1358"/>
      <c r="K47" s="1358"/>
      <c r="L47" s="1358"/>
      <c r="M47" s="1358"/>
    </row>
    <row r="48" spans="2:13" x14ac:dyDescent="0.25">
      <c r="B48" s="1358"/>
      <c r="C48" s="1358"/>
      <c r="D48" s="1358"/>
      <c r="E48" s="1358"/>
      <c r="F48" s="1358"/>
      <c r="G48" s="1358"/>
      <c r="H48" s="1358"/>
      <c r="I48" s="1358"/>
      <c r="J48" s="1358"/>
      <c r="K48" s="1358"/>
      <c r="L48" s="1358"/>
      <c r="M48" s="1358"/>
    </row>
    <row r="49" spans="2:14" x14ac:dyDescent="0.25">
      <c r="B49" s="3" t="s">
        <v>722</v>
      </c>
    </row>
    <row r="50" spans="2:14" x14ac:dyDescent="0.25">
      <c r="B50" s="67" t="s">
        <v>723</v>
      </c>
    </row>
    <row r="51" spans="2:14" ht="12.75" customHeight="1" x14ac:dyDescent="0.25">
      <c r="B51" s="1359" t="s">
        <v>724</v>
      </c>
      <c r="C51" s="1359"/>
      <c r="D51" s="1359"/>
      <c r="E51" s="1359"/>
      <c r="F51" s="1359"/>
      <c r="G51" s="1359"/>
      <c r="H51" s="1359"/>
      <c r="I51" s="1359"/>
      <c r="J51" s="1359"/>
      <c r="K51" s="1359"/>
      <c r="L51" s="1359"/>
      <c r="M51" s="1359"/>
      <c r="N51" s="1359"/>
    </row>
    <row r="52" spans="2:14" x14ac:dyDescent="0.25">
      <c r="B52" s="1359"/>
      <c r="C52" s="1359"/>
      <c r="D52" s="1359"/>
      <c r="E52" s="1359"/>
      <c r="F52" s="1359"/>
      <c r="G52" s="1359"/>
      <c r="H52" s="1359"/>
      <c r="I52" s="1359"/>
      <c r="J52" s="1359"/>
      <c r="K52" s="1359"/>
      <c r="L52" s="1359"/>
      <c r="M52" s="1359"/>
      <c r="N52" s="1359"/>
    </row>
    <row r="53" spans="2:14" x14ac:dyDescent="0.25">
      <c r="B53" s="1359"/>
      <c r="C53" s="1359"/>
      <c r="D53" s="1359"/>
      <c r="E53" s="1359"/>
      <c r="F53" s="1359"/>
      <c r="G53" s="1359"/>
      <c r="H53" s="1359"/>
      <c r="I53" s="1359"/>
      <c r="J53" s="1359"/>
      <c r="K53" s="1359"/>
      <c r="L53" s="1359"/>
      <c r="M53" s="1359"/>
      <c r="N53" s="1359"/>
    </row>
    <row r="57" spans="2:14" x14ac:dyDescent="0.25">
      <c r="B57" s="1361" t="s">
        <v>725</v>
      </c>
      <c r="C57" s="1362"/>
      <c r="D57" s="1362"/>
      <c r="E57" s="1362"/>
      <c r="F57" s="1362"/>
      <c r="G57" s="1362"/>
      <c r="H57" s="1362"/>
      <c r="I57" s="1362"/>
      <c r="J57" s="1362"/>
      <c r="K57" s="1362"/>
      <c r="L57" s="1363"/>
    </row>
    <row r="59" spans="2:14" x14ac:dyDescent="0.25">
      <c r="B59" s="1364" t="s">
        <v>726</v>
      </c>
      <c r="C59" s="1364"/>
      <c r="D59" s="1364"/>
      <c r="F59" s="1224" t="s">
        <v>727</v>
      </c>
      <c r="G59" s="1224"/>
      <c r="H59" s="1224"/>
      <c r="J59" s="1360" t="s">
        <v>728</v>
      </c>
      <c r="K59" s="1360"/>
      <c r="L59" s="1360"/>
      <c r="M59" s="1360"/>
    </row>
    <row r="60" spans="2:14" x14ac:dyDescent="0.25">
      <c r="B60" s="1353" t="s">
        <v>514</v>
      </c>
      <c r="C60" s="1353"/>
      <c r="D60" s="580">
        <v>65.97</v>
      </c>
      <c r="F60" s="1353" t="s">
        <v>514</v>
      </c>
      <c r="G60" s="1353"/>
      <c r="H60" s="164">
        <v>96.41</v>
      </c>
      <c r="J60" s="1353" t="s">
        <v>514</v>
      </c>
      <c r="K60" s="1353"/>
      <c r="L60" s="164">
        <v>64.27</v>
      </c>
    </row>
    <row r="61" spans="2:14" x14ac:dyDescent="0.25">
      <c r="B61" s="1353" t="s">
        <v>302</v>
      </c>
      <c r="C61" s="1353"/>
      <c r="D61" s="580">
        <v>37.4</v>
      </c>
      <c r="F61" s="1349" t="s">
        <v>309</v>
      </c>
      <c r="G61" s="1349"/>
      <c r="H61" s="164">
        <v>41.78</v>
      </c>
      <c r="J61" s="1349" t="s">
        <v>309</v>
      </c>
      <c r="K61" s="1349"/>
      <c r="L61" s="164">
        <v>40.82</v>
      </c>
    </row>
    <row r="62" spans="2:14" x14ac:dyDescent="0.25">
      <c r="B62" s="1353" t="s">
        <v>729</v>
      </c>
      <c r="C62" s="1353"/>
      <c r="D62" s="580">
        <v>18.7</v>
      </c>
      <c r="F62" s="1349" t="s">
        <v>303</v>
      </c>
      <c r="G62" s="1349"/>
      <c r="H62" s="164">
        <v>26.67</v>
      </c>
      <c r="J62" s="1349" t="s">
        <v>303</v>
      </c>
      <c r="K62" s="1349"/>
      <c r="L62" s="164">
        <v>26.67</v>
      </c>
    </row>
    <row r="63" spans="2:14" x14ac:dyDescent="0.25">
      <c r="F63" s="1353" t="s">
        <v>456</v>
      </c>
      <c r="G63" s="1353"/>
      <c r="H63" s="164">
        <v>20.89</v>
      </c>
      <c r="J63" s="1353" t="s">
        <v>456</v>
      </c>
      <c r="K63" s="1353"/>
      <c r="L63" s="164">
        <v>20.41</v>
      </c>
    </row>
    <row r="64" spans="2:14" ht="13.8" thickBot="1" x14ac:dyDescent="0.3">
      <c r="J64" s="67"/>
    </row>
    <row r="65" spans="2:11" ht="40.200000000000003" customHeight="1" thickBot="1" x14ac:dyDescent="0.3">
      <c r="B65" s="1350" t="s">
        <v>730</v>
      </c>
      <c r="C65" s="1351"/>
      <c r="D65" s="1352"/>
      <c r="G65" s="1350" t="s">
        <v>731</v>
      </c>
      <c r="H65" s="1351"/>
      <c r="I65" s="1352"/>
    </row>
    <row r="66" spans="2:11" x14ac:dyDescent="0.25">
      <c r="B66" s="1357" t="s">
        <v>514</v>
      </c>
      <c r="C66" s="1357"/>
      <c r="D66" s="684">
        <v>120</v>
      </c>
      <c r="G66" s="1357" t="s">
        <v>514</v>
      </c>
      <c r="H66" s="1357"/>
      <c r="I66" s="684">
        <v>90</v>
      </c>
    </row>
    <row r="67" spans="2:11" x14ac:dyDescent="0.25">
      <c r="B67" s="1349" t="s">
        <v>309</v>
      </c>
      <c r="C67" s="1349"/>
      <c r="D67" s="164">
        <v>41.78</v>
      </c>
      <c r="G67" s="1349" t="s">
        <v>309</v>
      </c>
      <c r="H67" s="1349"/>
      <c r="I67" s="164">
        <v>40.82</v>
      </c>
    </row>
    <row r="68" spans="2:11" x14ac:dyDescent="0.25">
      <c r="B68" s="1349" t="s">
        <v>303</v>
      </c>
      <c r="C68" s="1349"/>
      <c r="D68" s="164">
        <v>26.67</v>
      </c>
      <c r="G68" s="1349" t="s">
        <v>303</v>
      </c>
      <c r="H68" s="1349"/>
      <c r="I68" s="164">
        <v>26.67</v>
      </c>
    </row>
    <row r="69" spans="2:11" x14ac:dyDescent="0.25">
      <c r="B69" s="1353" t="s">
        <v>456</v>
      </c>
      <c r="C69" s="1353"/>
      <c r="D69" s="164">
        <v>20.89</v>
      </c>
      <c r="G69" s="1353" t="s">
        <v>456</v>
      </c>
      <c r="H69" s="1353"/>
      <c r="I69" s="164">
        <v>20.41</v>
      </c>
    </row>
    <row r="72" spans="2:11" ht="13.8" thickBot="1" x14ac:dyDescent="0.3">
      <c r="B72" s="638"/>
      <c r="C72" s="638"/>
      <c r="D72" s="638"/>
      <c r="G72" s="638"/>
      <c r="H72" s="638"/>
      <c r="I72" s="638"/>
    </row>
    <row r="73" spans="2:11" ht="40.200000000000003" customHeight="1" thickBot="1" x14ac:dyDescent="0.3">
      <c r="B73" s="1354" t="s">
        <v>732</v>
      </c>
      <c r="C73" s="1355"/>
      <c r="D73" s="1356"/>
      <c r="G73" s="1350" t="s">
        <v>733</v>
      </c>
      <c r="H73" s="1351"/>
      <c r="I73" s="1352"/>
    </row>
    <row r="74" spans="2:11" x14ac:dyDescent="0.25">
      <c r="B74" s="1357" t="s">
        <v>514</v>
      </c>
      <c r="C74" s="1357"/>
      <c r="D74" s="684">
        <v>150</v>
      </c>
      <c r="G74" s="1357" t="s">
        <v>514</v>
      </c>
      <c r="H74" s="1357"/>
      <c r="I74" s="684">
        <v>130</v>
      </c>
    </row>
    <row r="75" spans="2:11" x14ac:dyDescent="0.25">
      <c r="B75" s="1349" t="s">
        <v>309</v>
      </c>
      <c r="C75" s="1349"/>
      <c r="D75" s="164">
        <v>53.34</v>
      </c>
      <c r="G75" s="1349" t="s">
        <v>309</v>
      </c>
      <c r="H75" s="1349"/>
      <c r="I75" s="164">
        <v>53.34</v>
      </c>
    </row>
    <row r="76" spans="2:11" x14ac:dyDescent="0.25">
      <c r="B76" s="1349" t="s">
        <v>303</v>
      </c>
      <c r="C76" s="1349"/>
      <c r="D76" s="164">
        <v>26.67</v>
      </c>
      <c r="G76" s="1349" t="s">
        <v>303</v>
      </c>
      <c r="H76" s="1349"/>
      <c r="I76" s="164">
        <v>26.67</v>
      </c>
    </row>
    <row r="77" spans="2:11" x14ac:dyDescent="0.25">
      <c r="B77" s="1353" t="s">
        <v>456</v>
      </c>
      <c r="C77" s="1353"/>
      <c r="D77" s="164">
        <v>23.67</v>
      </c>
      <c r="G77" s="1353" t="s">
        <v>456</v>
      </c>
      <c r="H77" s="1353"/>
      <c r="I77" s="164">
        <v>23.67</v>
      </c>
    </row>
    <row r="80" spans="2:11" ht="12.75" customHeight="1" x14ac:dyDescent="0.25">
      <c r="B80" s="1340" t="s">
        <v>734</v>
      </c>
      <c r="C80" s="1341"/>
      <c r="D80" s="1341"/>
      <c r="E80" s="1341"/>
      <c r="F80" s="1341"/>
      <c r="G80" s="1341"/>
      <c r="H80" s="1341"/>
      <c r="I80" s="1341"/>
      <c r="J80" s="1341"/>
      <c r="K80" s="1342"/>
    </row>
    <row r="81" spans="2:11" x14ac:dyDescent="0.25">
      <c r="B81" s="1343"/>
      <c r="C81" s="1344"/>
      <c r="D81" s="1344"/>
      <c r="E81" s="1344"/>
      <c r="F81" s="1344"/>
      <c r="G81" s="1344"/>
      <c r="H81" s="1344"/>
      <c r="I81" s="1344"/>
      <c r="J81" s="1344"/>
      <c r="K81" s="1345"/>
    </row>
    <row r="82" spans="2:11" x14ac:dyDescent="0.25">
      <c r="B82" s="1343"/>
      <c r="C82" s="1344"/>
      <c r="D82" s="1344"/>
      <c r="E82" s="1344"/>
      <c r="F82" s="1344"/>
      <c r="G82" s="1344"/>
      <c r="H82" s="1344"/>
      <c r="I82" s="1344"/>
      <c r="J82" s="1344"/>
      <c r="K82" s="1345"/>
    </row>
    <row r="83" spans="2:11" x14ac:dyDescent="0.25">
      <c r="B83" s="1343"/>
      <c r="C83" s="1344"/>
      <c r="D83" s="1344"/>
      <c r="E83" s="1344"/>
      <c r="F83" s="1344"/>
      <c r="G83" s="1344"/>
      <c r="H83" s="1344"/>
      <c r="I83" s="1344"/>
      <c r="J83" s="1344"/>
      <c r="K83" s="1345"/>
    </row>
    <row r="84" spans="2:11" x14ac:dyDescent="0.25">
      <c r="B84" s="1343"/>
      <c r="C84" s="1344"/>
      <c r="D84" s="1344"/>
      <c r="E84" s="1344"/>
      <c r="F84" s="1344"/>
      <c r="G84" s="1344"/>
      <c r="H84" s="1344"/>
      <c r="I84" s="1344"/>
      <c r="J84" s="1344"/>
      <c r="K84" s="1345"/>
    </row>
    <row r="85" spans="2:11" x14ac:dyDescent="0.25">
      <c r="B85" s="1343"/>
      <c r="C85" s="1344"/>
      <c r="D85" s="1344"/>
      <c r="E85" s="1344"/>
      <c r="F85" s="1344"/>
      <c r="G85" s="1344"/>
      <c r="H85" s="1344"/>
      <c r="I85" s="1344"/>
      <c r="J85" s="1344"/>
      <c r="K85" s="1345"/>
    </row>
    <row r="86" spans="2:11" x14ac:dyDescent="0.25">
      <c r="B86" s="1343"/>
      <c r="C86" s="1344"/>
      <c r="D86" s="1344"/>
      <c r="E86" s="1344"/>
      <c r="F86" s="1344"/>
      <c r="G86" s="1344"/>
      <c r="H86" s="1344"/>
      <c r="I86" s="1344"/>
      <c r="J86" s="1344"/>
      <c r="K86" s="1345"/>
    </row>
    <row r="87" spans="2:11" x14ac:dyDescent="0.25">
      <c r="B87" s="1346"/>
      <c r="C87" s="1347"/>
      <c r="D87" s="1347"/>
      <c r="E87" s="1347"/>
      <c r="F87" s="1347"/>
      <c r="G87" s="1347"/>
      <c r="H87" s="1347"/>
      <c r="I87" s="1347"/>
      <c r="J87" s="1347"/>
      <c r="K87" s="1348"/>
    </row>
    <row r="90" spans="2:11" hidden="1" x14ac:dyDescent="0.25">
      <c r="B90" s="971" t="s">
        <v>735</v>
      </c>
      <c r="C90" s="617"/>
      <c r="D90" s="617"/>
      <c r="E90" s="617"/>
      <c r="F90" s="618"/>
    </row>
    <row r="91" spans="2:11" hidden="1" x14ac:dyDescent="0.25">
      <c r="B91" s="610" t="s">
        <v>736</v>
      </c>
      <c r="F91" s="611"/>
    </row>
    <row r="92" spans="2:11" hidden="1" x14ac:dyDescent="0.25">
      <c r="B92" s="610" t="s">
        <v>737</v>
      </c>
      <c r="F92" s="611"/>
    </row>
    <row r="93" spans="2:11" hidden="1" x14ac:dyDescent="0.25">
      <c r="B93" s="610" t="s">
        <v>738</v>
      </c>
      <c r="F93" s="611"/>
    </row>
    <row r="94" spans="2:11" ht="13.8" hidden="1" thickBot="1" x14ac:dyDescent="0.3">
      <c r="B94" s="619"/>
      <c r="C94" s="620"/>
      <c r="D94" s="620"/>
      <c r="E94" s="620"/>
      <c r="F94" s="633"/>
    </row>
    <row r="95" spans="2:11" ht="13.8" hidden="1" thickBot="1" x14ac:dyDescent="0.3"/>
    <row r="96" spans="2:11" ht="13.8" hidden="1" thickBot="1" x14ac:dyDescent="0.3">
      <c r="B96" s="1365" t="s">
        <v>739</v>
      </c>
      <c r="C96" s="1366"/>
      <c r="D96" s="1366"/>
      <c r="E96" s="1366"/>
      <c r="F96" s="1366"/>
      <c r="G96" s="1366"/>
      <c r="H96" s="1366"/>
      <c r="I96" s="1366"/>
      <c r="J96" s="1366"/>
      <c r="K96" s="1367"/>
    </row>
    <row r="97" spans="2:11" ht="13.8" hidden="1" thickBot="1" x14ac:dyDescent="0.3">
      <c r="B97" s="1372" t="s">
        <v>740</v>
      </c>
      <c r="C97" s="1374"/>
      <c r="E97" s="1372" t="s">
        <v>741</v>
      </c>
      <c r="F97" s="1374"/>
      <c r="G97" s="67"/>
      <c r="H97" s="1372" t="s">
        <v>742</v>
      </c>
      <c r="I97" s="1373"/>
      <c r="J97" s="1373"/>
      <c r="K97" s="1374"/>
    </row>
    <row r="98" spans="2:11" ht="13.8" hidden="1" thickBot="1" x14ac:dyDescent="0.3">
      <c r="B98" s="1103"/>
      <c r="C98" s="152"/>
      <c r="E98" s="152"/>
      <c r="F98" s="152"/>
      <c r="G98" s="67"/>
      <c r="H98" s="67"/>
      <c r="K98" s="611"/>
    </row>
    <row r="99" spans="2:11" ht="13.8" hidden="1" thickBot="1" x14ac:dyDescent="0.3">
      <c r="B99" s="1372" t="s">
        <v>743</v>
      </c>
      <c r="C99" s="1374"/>
      <c r="E99" s="917" t="s">
        <v>744</v>
      </c>
      <c r="F99" s="902"/>
      <c r="H99" s="917" t="s">
        <v>745</v>
      </c>
      <c r="I99" s="1102"/>
      <c r="J99" s="1102"/>
      <c r="K99" s="902"/>
    </row>
    <row r="100" spans="2:11" ht="13.8" hidden="1" thickBot="1" x14ac:dyDescent="0.3">
      <c r="B100" s="610"/>
      <c r="K100" s="611"/>
    </row>
    <row r="101" spans="2:11" hidden="1" x14ac:dyDescent="0.25">
      <c r="B101" s="1368" t="s">
        <v>746</v>
      </c>
      <c r="C101" s="1369"/>
      <c r="E101" s="1380" t="s">
        <v>747</v>
      </c>
      <c r="F101" s="1381"/>
      <c r="H101" s="1368" t="s">
        <v>748</v>
      </c>
      <c r="I101" s="1375"/>
      <c r="J101" s="1375"/>
      <c r="K101" s="1376"/>
    </row>
    <row r="102" spans="2:11" ht="13.8" hidden="1" thickBot="1" x14ac:dyDescent="0.3">
      <c r="B102" s="1370"/>
      <c r="C102" s="1371"/>
      <c r="E102" s="1382"/>
      <c r="F102" s="1383"/>
      <c r="H102" s="1377"/>
      <c r="I102" s="1378"/>
      <c r="J102" s="1378"/>
      <c r="K102" s="1379"/>
    </row>
    <row r="103" spans="2:11" ht="13.8" hidden="1" thickBot="1" x14ac:dyDescent="0.3">
      <c r="B103" s="610"/>
      <c r="K103" s="611"/>
    </row>
    <row r="104" spans="2:11" hidden="1" x14ac:dyDescent="0.25">
      <c r="B104" s="1368" t="s">
        <v>749</v>
      </c>
      <c r="C104" s="1369"/>
      <c r="E104" s="1380" t="s">
        <v>750</v>
      </c>
      <c r="F104" s="1381"/>
      <c r="H104" s="1384" t="s">
        <v>751</v>
      </c>
      <c r="I104" s="1385"/>
      <c r="J104" s="1385"/>
      <c r="K104" s="1386"/>
    </row>
    <row r="105" spans="2:11" ht="13.8" hidden="1" thickBot="1" x14ac:dyDescent="0.3">
      <c r="B105" s="1370"/>
      <c r="C105" s="1371"/>
      <c r="D105" s="620"/>
      <c r="E105" s="1382"/>
      <c r="F105" s="1383"/>
      <c r="G105" s="620"/>
      <c r="H105" s="1387"/>
      <c r="I105" s="1388"/>
      <c r="J105" s="1388"/>
      <c r="K105" s="1389"/>
    </row>
    <row r="106" spans="2:11" hidden="1" x14ac:dyDescent="0.25"/>
    <row r="107" spans="2:11" ht="13.8" hidden="1" thickBot="1" x14ac:dyDescent="0.3"/>
    <row r="108" spans="2:11" ht="13.8" hidden="1" thickBot="1" x14ac:dyDescent="0.3">
      <c r="B108" s="1372" t="s">
        <v>752</v>
      </c>
      <c r="C108" s="1392"/>
      <c r="D108" s="1392"/>
      <c r="E108" s="1392"/>
      <c r="F108" s="1392"/>
      <c r="G108" s="1392"/>
      <c r="H108" s="1392"/>
      <c r="I108" s="1392"/>
      <c r="J108" s="1392"/>
      <c r="K108" s="1393"/>
    </row>
    <row r="109" spans="2:11" hidden="1" x14ac:dyDescent="0.25">
      <c r="B109" s="610"/>
      <c r="K109" s="611"/>
    </row>
    <row r="110" spans="2:11" ht="13.8" hidden="1" thickBot="1" x14ac:dyDescent="0.3">
      <c r="B110" s="972"/>
      <c r="K110" s="611"/>
    </row>
    <row r="111" spans="2:11" hidden="1" x14ac:dyDescent="0.25">
      <c r="B111" s="1368" t="s">
        <v>749</v>
      </c>
      <c r="C111" s="1390"/>
      <c r="D111" s="1369"/>
      <c r="F111" s="1368" t="s">
        <v>753</v>
      </c>
      <c r="G111" s="1375"/>
      <c r="H111" s="1375"/>
      <c r="I111" s="1375"/>
      <c r="J111" s="1375"/>
      <c r="K111" s="1376"/>
    </row>
    <row r="112" spans="2:11" ht="13.8" hidden="1" thickBot="1" x14ac:dyDescent="0.3">
      <c r="B112" s="1370"/>
      <c r="C112" s="1391"/>
      <c r="D112" s="1371"/>
      <c r="F112" s="1377"/>
      <c r="G112" s="1378"/>
      <c r="H112" s="1378"/>
      <c r="I112" s="1378"/>
      <c r="J112" s="1378"/>
      <c r="K112" s="1379"/>
    </row>
    <row r="113" spans="2:11" ht="13.8" hidden="1" thickBot="1" x14ac:dyDescent="0.3">
      <c r="B113" s="610"/>
      <c r="K113" s="611"/>
    </row>
    <row r="114" spans="2:11" hidden="1" x14ac:dyDescent="0.25">
      <c r="B114" s="1394" t="s">
        <v>754</v>
      </c>
      <c r="C114" s="1395"/>
      <c r="D114" s="1396"/>
      <c r="F114" s="1368" t="s">
        <v>755</v>
      </c>
      <c r="G114" s="1375"/>
      <c r="H114" s="1375"/>
      <c r="I114" s="1375"/>
      <c r="J114" s="1375"/>
      <c r="K114" s="1376"/>
    </row>
    <row r="115" spans="2:11" hidden="1" x14ac:dyDescent="0.25">
      <c r="B115" s="1397"/>
      <c r="C115" s="1398"/>
      <c r="D115" s="1399"/>
      <c r="F115" s="1403"/>
      <c r="G115" s="1404"/>
      <c r="H115" s="1404"/>
      <c r="I115" s="1404"/>
      <c r="J115" s="1404"/>
      <c r="K115" s="1405"/>
    </row>
    <row r="116" spans="2:11" ht="13.8" hidden="1" thickBot="1" x14ac:dyDescent="0.3">
      <c r="B116" s="1400"/>
      <c r="C116" s="1401"/>
      <c r="D116" s="1402"/>
      <c r="F116" s="1377"/>
      <c r="G116" s="1378"/>
      <c r="H116" s="1378"/>
      <c r="I116" s="1378"/>
      <c r="J116" s="1378"/>
      <c r="K116" s="1379"/>
    </row>
    <row r="117" spans="2:11" ht="13.8" hidden="1" thickBot="1" x14ac:dyDescent="0.3">
      <c r="B117" s="610"/>
      <c r="K117" s="611"/>
    </row>
    <row r="118" spans="2:11" hidden="1" x14ac:dyDescent="0.25">
      <c r="B118" s="1380" t="s">
        <v>756</v>
      </c>
      <c r="C118" s="1406"/>
      <c r="D118" s="1407"/>
      <c r="F118" s="1368" t="s">
        <v>757</v>
      </c>
      <c r="G118" s="1375"/>
      <c r="H118" s="1375"/>
      <c r="I118" s="1375"/>
      <c r="J118" s="1375"/>
      <c r="K118" s="1376"/>
    </row>
    <row r="119" spans="2:11" hidden="1" x14ac:dyDescent="0.25">
      <c r="B119" s="1408"/>
      <c r="C119" s="1409"/>
      <c r="D119" s="1410"/>
      <c r="F119" s="1403"/>
      <c r="G119" s="1404"/>
      <c r="H119" s="1404"/>
      <c r="I119" s="1404"/>
      <c r="J119" s="1404"/>
      <c r="K119" s="1405"/>
    </row>
    <row r="120" spans="2:11" ht="13.8" hidden="1" thickBot="1" x14ac:dyDescent="0.3">
      <c r="B120" s="1411"/>
      <c r="C120" s="1412"/>
      <c r="D120" s="1413"/>
      <c r="F120" s="1377"/>
      <c r="G120" s="1378"/>
      <c r="H120" s="1378"/>
      <c r="I120" s="1378"/>
      <c r="J120" s="1378"/>
      <c r="K120" s="1379"/>
    </row>
    <row r="121" spans="2:11" ht="13.8" hidden="1" thickBot="1" x14ac:dyDescent="0.3">
      <c r="B121" s="610"/>
      <c r="K121" s="611"/>
    </row>
    <row r="122" spans="2:11" hidden="1" x14ac:dyDescent="0.25">
      <c r="B122" s="1394" t="s">
        <v>758</v>
      </c>
      <c r="C122" s="1414"/>
      <c r="D122" s="1415"/>
      <c r="F122" s="1368" t="s">
        <v>759</v>
      </c>
      <c r="G122" s="1375"/>
      <c r="H122" s="1375"/>
      <c r="I122" s="1375"/>
      <c r="J122" s="1375"/>
      <c r="K122" s="1376"/>
    </row>
    <row r="123" spans="2:11" hidden="1" x14ac:dyDescent="0.25">
      <c r="B123" s="1416"/>
      <c r="C123" s="1417"/>
      <c r="D123" s="1418"/>
      <c r="F123" s="1403"/>
      <c r="G123" s="1404"/>
      <c r="H123" s="1404"/>
      <c r="I123" s="1404"/>
      <c r="J123" s="1404"/>
      <c r="K123" s="1405"/>
    </row>
    <row r="124" spans="2:11" ht="13.8" hidden="1" thickBot="1" x14ac:dyDescent="0.3">
      <c r="B124" s="1419"/>
      <c r="C124" s="1420"/>
      <c r="D124" s="1421"/>
      <c r="E124" s="620"/>
      <c r="F124" s="1377"/>
      <c r="G124" s="1378"/>
      <c r="H124" s="1378"/>
      <c r="I124" s="1378"/>
      <c r="J124" s="1378"/>
      <c r="K124" s="1379"/>
    </row>
    <row r="125" spans="2:11" hidden="1" x14ac:dyDescent="0.25"/>
    <row r="126" spans="2:11" ht="13.2" customHeight="1" x14ac:dyDescent="0.25">
      <c r="B126" s="1340" t="s">
        <v>1186</v>
      </c>
      <c r="C126" s="1341"/>
      <c r="D126" s="1341"/>
      <c r="E126" s="1341"/>
      <c r="F126" s="1341"/>
      <c r="G126" s="1341"/>
      <c r="H126" s="1341"/>
      <c r="I126" s="1341"/>
      <c r="J126" s="1341"/>
      <c r="K126" s="1342"/>
    </row>
    <row r="127" spans="2:11" x14ac:dyDescent="0.25">
      <c r="B127" s="1343"/>
      <c r="C127" s="1344"/>
      <c r="D127" s="1344"/>
      <c r="E127" s="1344"/>
      <c r="F127" s="1344"/>
      <c r="G127" s="1344"/>
      <c r="H127" s="1344"/>
      <c r="I127" s="1344"/>
      <c r="J127" s="1344"/>
      <c r="K127" s="1345"/>
    </row>
    <row r="128" spans="2:11" x14ac:dyDescent="0.25">
      <c r="B128" s="1343"/>
      <c r="C128" s="1344"/>
      <c r="D128" s="1344"/>
      <c r="E128" s="1344"/>
      <c r="F128" s="1344"/>
      <c r="G128" s="1344"/>
      <c r="H128" s="1344"/>
      <c r="I128" s="1344"/>
      <c r="J128" s="1344"/>
      <c r="K128" s="1345"/>
    </row>
    <row r="129" spans="2:11" x14ac:dyDescent="0.25">
      <c r="B129" s="1343"/>
      <c r="C129" s="1344"/>
      <c r="D129" s="1344"/>
      <c r="E129" s="1344"/>
      <c r="F129" s="1344"/>
      <c r="G129" s="1344"/>
      <c r="H129" s="1344"/>
      <c r="I129" s="1344"/>
      <c r="J129" s="1344"/>
      <c r="K129" s="1345"/>
    </row>
    <row r="130" spans="2:11" x14ac:dyDescent="0.25">
      <c r="B130" s="1343"/>
      <c r="C130" s="1344"/>
      <c r="D130" s="1344"/>
      <c r="E130" s="1344"/>
      <c r="F130" s="1344"/>
      <c r="G130" s="1344"/>
      <c r="H130" s="1344"/>
      <c r="I130" s="1344"/>
      <c r="J130" s="1344"/>
      <c r="K130" s="1345"/>
    </row>
    <row r="131" spans="2:11" x14ac:dyDescent="0.25">
      <c r="B131" s="1343"/>
      <c r="C131" s="1344"/>
      <c r="D131" s="1344"/>
      <c r="E131" s="1344"/>
      <c r="F131" s="1344"/>
      <c r="G131" s="1344"/>
      <c r="H131" s="1344"/>
      <c r="I131" s="1344"/>
      <c r="J131" s="1344"/>
      <c r="K131" s="1345"/>
    </row>
    <row r="132" spans="2:11" x14ac:dyDescent="0.25">
      <c r="B132" s="1346"/>
      <c r="C132" s="1347"/>
      <c r="D132" s="1347"/>
      <c r="E132" s="1347"/>
      <c r="F132" s="1347"/>
      <c r="G132" s="1347"/>
      <c r="H132" s="1347"/>
      <c r="I132" s="1347"/>
      <c r="J132" s="1347"/>
      <c r="K132" s="1348"/>
    </row>
    <row r="133" spans="2:11" x14ac:dyDescent="0.25">
      <c r="B133" s="1181"/>
      <c r="C133" s="1181"/>
      <c r="D133" s="1181"/>
      <c r="E133" s="1181"/>
      <c r="F133" s="1181"/>
      <c r="G133" s="1181"/>
      <c r="H133" s="1181"/>
      <c r="I133" s="1181"/>
      <c r="J133" s="1181"/>
      <c r="K133" s="1181"/>
    </row>
    <row r="134" spans="2:11" ht="13.2" customHeight="1" x14ac:dyDescent="0.25">
      <c r="B134" s="1340" t="s">
        <v>1215</v>
      </c>
      <c r="C134" s="1341"/>
      <c r="D134" s="1341"/>
      <c r="E134" s="1341"/>
      <c r="F134" s="1341"/>
      <c r="G134" s="1341"/>
      <c r="H134" s="1341"/>
      <c r="I134" s="1341"/>
      <c r="J134" s="1341"/>
      <c r="K134" s="1342"/>
    </row>
    <row r="135" spans="2:11" x14ac:dyDescent="0.25">
      <c r="B135" s="1343"/>
      <c r="C135" s="1344"/>
      <c r="D135" s="1344"/>
      <c r="E135" s="1344"/>
      <c r="F135" s="1344"/>
      <c r="G135" s="1344"/>
      <c r="H135" s="1344"/>
      <c r="I135" s="1344"/>
      <c r="J135" s="1344"/>
      <c r="K135" s="1345"/>
    </row>
    <row r="136" spans="2:11" x14ac:dyDescent="0.25">
      <c r="B136" s="1343"/>
      <c r="C136" s="1344"/>
      <c r="D136" s="1344"/>
      <c r="E136" s="1344"/>
      <c r="F136" s="1344"/>
      <c r="G136" s="1344"/>
      <c r="H136" s="1344"/>
      <c r="I136" s="1344"/>
      <c r="J136" s="1344"/>
      <c r="K136" s="1345"/>
    </row>
    <row r="137" spans="2:11" x14ac:dyDescent="0.25">
      <c r="B137" s="1343"/>
      <c r="C137" s="1344"/>
      <c r="D137" s="1344"/>
      <c r="E137" s="1344"/>
      <c r="F137" s="1344"/>
      <c r="G137" s="1344"/>
      <c r="H137" s="1344"/>
      <c r="I137" s="1344"/>
      <c r="J137" s="1344"/>
      <c r="K137" s="1345"/>
    </row>
    <row r="138" spans="2:11" x14ac:dyDescent="0.25">
      <c r="B138" s="1343"/>
      <c r="C138" s="1344"/>
      <c r="D138" s="1344"/>
      <c r="E138" s="1344"/>
      <c r="F138" s="1344"/>
      <c r="G138" s="1344"/>
      <c r="H138" s="1344"/>
      <c r="I138" s="1344"/>
      <c r="J138" s="1344"/>
      <c r="K138" s="1345"/>
    </row>
    <row r="139" spans="2:11" x14ac:dyDescent="0.25">
      <c r="B139" s="1343"/>
      <c r="C139" s="1344"/>
      <c r="D139" s="1344"/>
      <c r="E139" s="1344"/>
      <c r="F139" s="1344"/>
      <c r="G139" s="1344"/>
      <c r="H139" s="1344"/>
      <c r="I139" s="1344"/>
      <c r="J139" s="1344"/>
      <c r="K139" s="1345"/>
    </row>
    <row r="140" spans="2:11" x14ac:dyDescent="0.25">
      <c r="B140" s="1343"/>
      <c r="C140" s="1344"/>
      <c r="D140" s="1344"/>
      <c r="E140" s="1344"/>
      <c r="F140" s="1344"/>
      <c r="G140" s="1344"/>
      <c r="H140" s="1344"/>
      <c r="I140" s="1344"/>
      <c r="J140" s="1344"/>
      <c r="K140" s="1345"/>
    </row>
    <row r="141" spans="2:11" x14ac:dyDescent="0.25">
      <c r="B141" s="1343"/>
      <c r="C141" s="1344"/>
      <c r="D141" s="1344"/>
      <c r="E141" s="1344"/>
      <c r="F141" s="1344"/>
      <c r="G141" s="1344"/>
      <c r="H141" s="1344"/>
      <c r="I141" s="1344"/>
      <c r="J141" s="1344"/>
      <c r="K141" s="1345"/>
    </row>
    <row r="142" spans="2:11" x14ac:dyDescent="0.25">
      <c r="B142" s="1343"/>
      <c r="C142" s="1344"/>
      <c r="D142" s="1344"/>
      <c r="E142" s="1344"/>
      <c r="F142" s="1344"/>
      <c r="G142" s="1344"/>
      <c r="H142" s="1344"/>
      <c r="I142" s="1344"/>
      <c r="J142" s="1344"/>
      <c r="K142" s="1345"/>
    </row>
    <row r="143" spans="2:11" x14ac:dyDescent="0.25">
      <c r="B143" s="1343"/>
      <c r="C143" s="1344"/>
      <c r="D143" s="1344"/>
      <c r="E143" s="1344"/>
      <c r="F143" s="1344"/>
      <c r="G143" s="1344"/>
      <c r="H143" s="1344"/>
      <c r="I143" s="1344"/>
      <c r="J143" s="1344"/>
      <c r="K143" s="1345"/>
    </row>
    <row r="144" spans="2:11" x14ac:dyDescent="0.25">
      <c r="B144" s="1343"/>
      <c r="C144" s="1344"/>
      <c r="D144" s="1344"/>
      <c r="E144" s="1344"/>
      <c r="F144" s="1344"/>
      <c r="G144" s="1344"/>
      <c r="H144" s="1344"/>
      <c r="I144" s="1344"/>
      <c r="J144" s="1344"/>
      <c r="K144" s="1345"/>
    </row>
    <row r="145" spans="2:11" x14ac:dyDescent="0.25">
      <c r="B145" s="1343"/>
      <c r="C145" s="1344"/>
      <c r="D145" s="1344"/>
      <c r="E145" s="1344"/>
      <c r="F145" s="1344"/>
      <c r="G145" s="1344"/>
      <c r="H145" s="1344"/>
      <c r="I145" s="1344"/>
      <c r="J145" s="1344"/>
      <c r="K145" s="1345"/>
    </row>
    <row r="146" spans="2:11" x14ac:dyDescent="0.25">
      <c r="B146" s="1343"/>
      <c r="C146" s="1344"/>
      <c r="D146" s="1344"/>
      <c r="E146" s="1344"/>
      <c r="F146" s="1344"/>
      <c r="G146" s="1344"/>
      <c r="H146" s="1344"/>
      <c r="I146" s="1344"/>
      <c r="J146" s="1344"/>
      <c r="K146" s="1345"/>
    </row>
    <row r="147" spans="2:11" x14ac:dyDescent="0.25">
      <c r="B147" s="1346"/>
      <c r="C147" s="1347"/>
      <c r="D147" s="1347"/>
      <c r="E147" s="1347"/>
      <c r="F147" s="1347"/>
      <c r="G147" s="1347"/>
      <c r="H147" s="1347"/>
      <c r="I147" s="1347"/>
      <c r="J147" s="1347"/>
      <c r="K147" s="1348"/>
    </row>
  </sheetData>
  <sheetProtection algorithmName="SHA-512" hashValue="mvdD2p7MwU1Ymv/invWb5UxThRhrkYO5Sid4vG2aFC4V8R/9G+APj0kWuo2+t1zl654uB91D2lsUW8j1rbWyEg==" saltValue="Hg+xQRBAxRwcepr3UtnT9A==" spinCount="100000" sheet="1" selectLockedCells="1"/>
  <mergeCells count="62">
    <mergeCell ref="B134:K147"/>
    <mergeCell ref="B118:D120"/>
    <mergeCell ref="F118:K120"/>
    <mergeCell ref="B122:D124"/>
    <mergeCell ref="F122:K124"/>
    <mergeCell ref="B126:K132"/>
    <mergeCell ref="B111:D112"/>
    <mergeCell ref="B108:K108"/>
    <mergeCell ref="F111:K112"/>
    <mergeCell ref="B114:D116"/>
    <mergeCell ref="F114:K116"/>
    <mergeCell ref="E104:F105"/>
    <mergeCell ref="B104:C105"/>
    <mergeCell ref="H104:K105"/>
    <mergeCell ref="B97:C97"/>
    <mergeCell ref="E97:F97"/>
    <mergeCell ref="B96:K96"/>
    <mergeCell ref="B101:C102"/>
    <mergeCell ref="H97:K97"/>
    <mergeCell ref="H101:K102"/>
    <mergeCell ref="B99:C99"/>
    <mergeCell ref="E101:F102"/>
    <mergeCell ref="B46:M48"/>
    <mergeCell ref="B51:N53"/>
    <mergeCell ref="B22:N23"/>
    <mergeCell ref="B60:C60"/>
    <mergeCell ref="J59:M59"/>
    <mergeCell ref="J60:K60"/>
    <mergeCell ref="B57:L57"/>
    <mergeCell ref="B59:D59"/>
    <mergeCell ref="F60:G60"/>
    <mergeCell ref="F59:H59"/>
    <mergeCell ref="J61:K61"/>
    <mergeCell ref="B74:C74"/>
    <mergeCell ref="G74:H74"/>
    <mergeCell ref="B75:C75"/>
    <mergeCell ref="G75:H75"/>
    <mergeCell ref="G66:H66"/>
    <mergeCell ref="G67:H67"/>
    <mergeCell ref="G68:H68"/>
    <mergeCell ref="G69:H69"/>
    <mergeCell ref="B66:C66"/>
    <mergeCell ref="B67:C67"/>
    <mergeCell ref="J62:K62"/>
    <mergeCell ref="B62:C62"/>
    <mergeCell ref="B61:C61"/>
    <mergeCell ref="E2:H2"/>
    <mergeCell ref="B80:K87"/>
    <mergeCell ref="B76:C76"/>
    <mergeCell ref="G76:H76"/>
    <mergeCell ref="F61:G61"/>
    <mergeCell ref="B65:D65"/>
    <mergeCell ref="G65:I65"/>
    <mergeCell ref="B77:C77"/>
    <mergeCell ref="G77:H77"/>
    <mergeCell ref="J63:K63"/>
    <mergeCell ref="F62:G62"/>
    <mergeCell ref="B73:D73"/>
    <mergeCell ref="G73:I73"/>
    <mergeCell ref="B68:C68"/>
    <mergeCell ref="B69:C69"/>
    <mergeCell ref="F63:G63"/>
  </mergeCells>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347"/>
  <sheetViews>
    <sheetView showGridLines="0" zoomScaleNormal="100" workbookViewId="0">
      <pane ySplit="11" topLeftCell="A12" activePane="bottomLeft" state="frozen"/>
      <selection pane="bottomLeft" activeCell="D9" sqref="D9:E9"/>
    </sheetView>
  </sheetViews>
  <sheetFormatPr baseColWidth="10" defaultColWidth="11.44140625" defaultRowHeight="11.4" x14ac:dyDescent="0.2"/>
  <cols>
    <col min="1" max="1" width="29.33203125" style="161" bestFit="1" customWidth="1"/>
    <col min="2" max="2" width="1.6640625" style="161" bestFit="1" customWidth="1"/>
    <col min="3" max="3" width="19.6640625" style="161" bestFit="1" customWidth="1"/>
    <col min="4" max="4" width="13.44140625" style="161" customWidth="1"/>
    <col min="5" max="5" width="11.44140625" style="161"/>
    <col min="6" max="6" width="12.33203125" style="161" customWidth="1"/>
    <col min="7" max="7" width="13.109375" style="161" customWidth="1"/>
    <col min="8" max="8" width="15.44140625" style="161" customWidth="1"/>
    <col min="9" max="9" width="29.33203125" style="161" customWidth="1"/>
    <col min="10" max="10" width="11.6640625" style="161" hidden="1" customWidth="1"/>
    <col min="11" max="11" width="11.44140625" style="161" hidden="1" customWidth="1"/>
    <col min="12" max="12" width="16.33203125" style="161" hidden="1" customWidth="1"/>
    <col min="13" max="13" width="11.44140625" style="161" hidden="1" customWidth="1"/>
    <col min="14" max="14" width="11.44140625" style="161" customWidth="1"/>
    <col min="15" max="15" width="17" style="161" customWidth="1"/>
    <col min="16" max="16" width="11.44140625" style="161" customWidth="1"/>
    <col min="17" max="22" width="11.44140625" style="161" hidden="1" customWidth="1"/>
    <col min="23" max="23" width="32.44140625" style="161" hidden="1" customWidth="1"/>
    <col min="24" max="24" width="28.6640625" style="161" hidden="1" customWidth="1"/>
    <col min="25" max="33" width="11.44140625" style="161" hidden="1" customWidth="1"/>
    <col min="34" max="38" width="11.44140625" style="161" customWidth="1"/>
    <col min="39" max="16384" width="11.44140625" style="161"/>
  </cols>
  <sheetData>
    <row r="1" spans="1:62" x14ac:dyDescent="0.2">
      <c r="A1" s="44"/>
      <c r="I1" s="695">
        <f>INICIO!N1</f>
        <v>46288</v>
      </c>
      <c r="J1" s="701" t="str">
        <f>INICIO!M1</f>
        <v>V24</v>
      </c>
    </row>
    <row r="2" spans="1:62" ht="13.2" customHeight="1" x14ac:dyDescent="0.3">
      <c r="A2" s="44"/>
      <c r="B2" s="1221" t="s">
        <v>8</v>
      </c>
      <c r="C2" s="1221"/>
      <c r="D2" s="1221"/>
      <c r="E2" s="1221"/>
      <c r="F2" s="1221"/>
      <c r="G2" s="1221"/>
      <c r="H2" s="1222" t="s">
        <v>9</v>
      </c>
      <c r="I2" s="1222"/>
      <c r="BB2" s="1918" t="s">
        <v>1224</v>
      </c>
      <c r="BC2" s="1919"/>
      <c r="BD2" s="1919"/>
      <c r="BE2" s="1919"/>
      <c r="BF2" s="1919"/>
      <c r="BG2" s="1919"/>
      <c r="BH2" s="1919"/>
      <c r="BI2" s="1919"/>
      <c r="BJ2" s="1919"/>
    </row>
    <row r="3" spans="1:62" ht="13.95" customHeight="1" x14ac:dyDescent="0.3">
      <c r="A3" s="1308" t="s">
        <v>10</v>
      </c>
      <c r="B3" s="1228" t="str">
        <f>IF(D9="","Escriba la fecha de la solicitud en D9 y siga las instrucciones",IF(AND(OR(E11="",E11="Elija la Opción    ▼"),C16&lt;&gt;"",B10&lt;&gt;""),"Responda si ha solicitado un anticipo en la celda E11",IF(C16="","Escriba su nombre y apellidos en D16",IF(F16="","Escriba el D.N.I. en F16",IF(OR(H16="",H16="Elija la Opción    ▼"),"Elija la Nacionalidad",IF(C19="","Escriba la Entidad para la que trabaja en C19",IF(F19="","Escriba La Categoria profesionalen F19",IF(H19="","Escriba el Nº de cuenta bancaria e H19",IF(C24="","Escriba la Orgánica en C24",IF(F24="","Escriba el nº de Proyecto en F24",IF(H24="Elija la Opción    ▼","Elija el Tipo de proyecto/CONVOCATORIAS en H24",IF(OR(C27=" Elija la Opción",C27=""),"Elija la Vinculación con el proyectoen C27",IF(F27="","Escriba la Actividad/evento al que asiste en F27",IF(C30="","Escriba la fecha de inicio de todas las actividades en C30",IF(F30="","Escriba la Fecha de fin de las actividades en F30",IF(C32="","Escriba el Itinerario en C32",IF(F32="","Escriba el Luegar del desplazamiento en F32",IF(AND(C37&lt;&gt;"",F37=""),"Escriba la Matrícula del vehículo particular",IF(AND(D39&lt;&gt;0,C39="Elija Opción"),"Escriba el medio de locomoción utilizado en C39",IF(AND(D40&lt;&gt;0,C40="Elija Opción"),"Escriba el medio de locomoción utilizado en C40",IF(AND(D41&lt;&gt;0,C41="Elija Opción"),"Escriba el medio de locomoción utilizado en C41",IF(AND(D42&lt;&gt;0,C42="Elija Opción"),"Escriba el medio de locomoción utilizado en C42",IF(AND(G39&lt;&gt;0,F39="Elija Opción"),"Escriba el medio de locomoción utilizaden F39",IF(AND(G40&lt;&gt;0,F40="Elija Opción"),"Escriba el medio de locomoción utilizado en F40",IF(AND(G41&lt;&gt;0,F41="Elija Opción"),"Escriba el medio de locomoción utilizado en F41",IF(AND(G42&lt;&gt;0,F42="Elija Opción"),"Escriba el medio de locomoción utilizado en F42",IF(AND(C54&lt;&gt;"",F54=""),"Escriba la Hora de inicio del viaje en F54",IF(AND(C54&lt;&gt;"",C57=""),"Escriba la Fecha de fin de la viaje en C57",IF(AND(C54&lt;&gt;"",F57=""),"Escriba la Hora de fin del viaje en F57",IF(AND(C54="",F54&lt;&gt;""),"Escriba la fecha de inicio del viaje en C54",IF(AND(C54&lt;&gt;"",C60=""),"Escriba la Fecha de inicio de la actividad en C54",IF(AND(C54&lt;&gt;"",F60=""),"Escriba la Fecha de fin de la actividad en  F60",IF(AND(OR(G54="Elija la Opción    ▼",G54=""),G53&lt;&gt;"",C54&lt;&gt;""),"Elija la opción sin son dietas en Madrid en G54",IF(AND(OR(H57="",H57="Elija la Opción    ▼"),C54&lt;&gt;""),"Elija si desea renunciar a la manutención en H57",IF(AND(OR(G58="Elija la Opción    ▼",G58=""),G57&lt;&gt;"",C57&lt;&gt;"",'LIQUIDACIÓN-GASTOS'!J4='LIQUIDACIÓN-GASTOS'!AF2),"Elija si aporta factura factura de cena en G58",IF(AND(C64&lt;&gt;"",E64=""),"Escriba el Nº de noches de alojamiento en E64",IF(AND(G64&lt;&gt;"",I64=""),"Escriba el Nº de noches de alojamiento en Pagos con Acuerdo Marco en I64",IF(AND(C69&lt;&gt;"",D69=""),"Escriba la Fecha de inicio de la actividad en D69",IF(AND(C69&lt;&gt;"",F69=""),"Escriba la Hora de salida del viaje en F69",IF(AND(C69="",F69&lt;&gt;""),"Escriba la fecha de inicio del viaje en C69",IF(AND(C69&lt;&gt;"",C72=""),"Escriba la Fecha de fin del viaje en C72",IF(AND(C69&lt;&gt;"",H68="ELIJA EL PAÍS          ▼"),"Elija el País en H69",IF(AND(C69&lt;&gt;"",D72=""),"Escriba la Fecha de fin de la actividad en D72",IF(AND(C69&lt;&gt;"",F72=""),"Escriba la Hora de fin del viaje en F72",IF(AND(C74&lt;&gt;"",F74=""),"Escriba la hora de salida del pais extranjero",IF(AND(C74&lt;&gt;"",I72=""),"Escriba la fecha de salida del país extranjero en I72",IF(AND(OR(E75="",E75="Elija la Opción    ▼"),C73&lt;&gt;"",C69&lt;&gt;"",'LIQUIDACIÓN-GASTOS'!J4='LIQUIDACIÓN-GASTOS'!AF2),"Elija si aporta factura de cena en E75",IF(AND(OR(I75="",I75="Elija la Opción    ▼"),C69&lt;&gt;""),"Elija si desea renunciar a toda la manutención del país en I75",IF(AND(C78&lt;&gt;"",F78=""),"Escriba el Nº de noches del alojamiento en  F78",IF(AND(G78&lt;&gt;"",I78=""),"Escriba el Nº de noches del alojamiento de pagos a terceros con Acuerdo Marco en I78",""))))))))))))))))))))))))))))))))))))))))))))))))))</f>
        <v>Escriba la fecha de la solicitud en D9 y siga las instrucciones</v>
      </c>
      <c r="C3" s="1229"/>
      <c r="D3" s="1229"/>
      <c r="E3" s="1229"/>
      <c r="F3" s="1229"/>
      <c r="G3" s="1229"/>
      <c r="H3" s="1229"/>
      <c r="I3" s="1230"/>
      <c r="J3" s="808" t="str">
        <f>IF('LIQUIDACIÓN-GASTOS'!AN80&lt;&gt;0,"Responda si desea renunciar a una parte de la liquidación en la CELDA E10","")</f>
        <v/>
      </c>
    </row>
    <row r="4" spans="1:62" ht="12" customHeight="1" x14ac:dyDescent="0.3">
      <c r="A4" s="1309"/>
      <c r="B4" s="1235" t="str">
        <f>IF(AND(C113&lt;&gt;"",C119=""),"Escriba la Fecha de inicio de la actividad en C119",IF(AND(C113="",C119&lt;&gt;""),"Escriba la fecha de inicio del viaje en C113",IF(AND(OR(G113="Elija la Opción    ▼",G113=""),G112&lt;&gt;"",C113&lt;&gt;""),"Responda si son dietas en Madrid en G113",IF(AND(C113&lt;&gt;"",F113=""),"Escriba la Hora de salida del viaje en  F113",IF(AND(C113&lt;&gt;"",C116=""),"Escriba la Fecha de fin del viaje en C116",IF(AND(C113&lt;&gt;"",F119=""),"Escriba la Fecha de fin de la actividad en  F119",IF(AND(C113&lt;&gt;"",F116=""),"Escriba la Hora de fin del viaje en F116",IF(AND(C113&lt;&gt;"",E120="Elija la Opción    ▼"),"elija si desea renunciar a toda la manutención del país en E120",IF(AND(OR(I117="",I117="Elija la Opción    ▼"),C113&lt;&gt;"",H116&lt;&gt;"",'LIQUIDACIÓN-GASTOS'!AF2='LIQUIDACIÓN-GASTOS'!J4),"Elija si aporta factura de cena en I117",IF(AND(C123&lt;&gt;"",E123=""),"Escriba el Nº de noches del alojamiento en E123",IF(AND(G123&lt;&gt;"",I123=""),"Escriba el Nº de noches del alojamiento de pagos a terceros con Acuerdo Marco en I123",IF(AND(H69&lt;&gt;"",H71="",H71="Elija la Opción    ▼"),"Responda a la pregunta en H71",""))))))))))))</f>
        <v/>
      </c>
      <c r="C4" s="1236"/>
      <c r="D4" s="1236"/>
      <c r="E4" s="1236"/>
      <c r="F4" s="1236"/>
      <c r="G4" s="1236"/>
      <c r="H4" s="1236"/>
      <c r="I4" s="1237"/>
      <c r="J4" s="161" t="b">
        <f>IF(AND(OR(E10="Elija la Opción    ▼",E10=""),'LIQUIDACIÓN-GASTOS'!AN80&lt;&gt;0),"Responda si desea renunciar a una parte de la liquidación, celda E10")</f>
        <v>0</v>
      </c>
    </row>
    <row r="5" spans="1:62" ht="13.2" customHeight="1" x14ac:dyDescent="0.3">
      <c r="A5" s="1309"/>
      <c r="B5" s="1238" t="str">
        <f>IF(AND(C147&lt;&gt;"",H143="ELIJA EL PAÍS          ▼"),"Elija el País en H143",IF(AND(OR(H71="",H71="Elija la Opción    ▼"),H69&lt;&gt;""),"Responda a la pregunta en H71",IF(AND(C147="",C144&lt;&gt;""),"Escriba la fecha de inicio del viaje en C147",IF(AND(OR(H146="",H146="Elija la Opción    ▼"),H144&lt;&gt;""),"Responda a la pregunta en H146",IF(AND(C147&lt;&gt;"",C144=""),"Escriba la Fecha de inicio de la actividad en C144",IF(AND(C147&lt;&gt;"",F147=""),"Escriba la Hora de salida del viaje en F147",IF(AND(C147&lt;&gt;"",C150=""),"Escriba la Fecha de fin del viaje en C150",IF(AND(C147&lt;&gt;"",F144=""),"Escriba la Fecha de fin de la actividad en F144",IF(AND(C147&lt;&gt;"",F150=""),"Escriba la Hora de fin del viaje en F150",IF(AND(OR(F153="Elija la Opción    ▼",F153=""),C147&lt;&gt;""),"elija si desea renunciar a toda la manutención del país en F153",IF(AND(OR(F151="",F151="Elija la Opción    ▼"),C151&lt;&gt;"",C147&lt;&gt;"",'LIQUIDACIÓN-GASTOS'!J4='LIQUIDACIÓN-GASTOS'!AF2),"Elija si aporta factura de cena",IF(AND(C152&lt;&gt;"",F152=""),"Escriba la hora de salida del país extranjero",IF(AND(C152&lt;&gt;"",I150=""),"Escriba la fecha de salida del país extranjero",IF(AND(C156&lt;&gt;"",F156=""),"Escriba el Nº de noches del alojamiento en F156",IF(AND(G156&lt;&gt;"",I156=""),"Escriba el Nº de noches del alojamiento de pagos a terceros con Acuerdo Marco en I156","")))))))))))))))</f>
        <v/>
      </c>
      <c r="C5" s="1239"/>
      <c r="D5" s="1239"/>
      <c r="E5" s="1239"/>
      <c r="F5" s="1239"/>
      <c r="G5" s="1239"/>
      <c r="H5" s="1239"/>
      <c r="I5" s="1240"/>
    </row>
    <row r="6" spans="1:62" ht="13.2" customHeight="1" x14ac:dyDescent="0.3">
      <c r="A6" s="1309"/>
      <c r="B6" s="1238" t="str">
        <f>IF(AND(C164&lt;&gt;"",H160="ELIJA EL PAÍS          ▼"),"Elija el País en H160",IF(AND(OR(H163="",H163="Elija la Opción    ▼"),H161&lt;&gt;""),"Responda a la pregunta en H163",IF(AND(C164="",C161&lt;&gt;""),"Escriba la fecha de inicio del viaje en C164",IF(AND(C164&lt;&gt;"",C161=""),"Escriba la Fecha de inicio de la actividad en C161",IF(AND(C164&lt;&gt;"",F164=""),"Escriba la Hora de salida del viaje en F164",IF(AND(C164&lt;&gt;"",C167=""),"Escriba la Fecha de fin del viaje en C167",IF(AND(C164&lt;&gt;"",F161=""),"Escriba la Fecha de fin de la actividad en F161",IF(AND(C164&lt;&gt;"",F167=""),"Escriba la Hora de fin del viaje en F167",IF(AND(C164&lt;&gt;"",F165="Elija la Opción    ▼"),"elija si desea renunciar a toda la manutención del país en F165",IF(AND(C167&lt;&gt;"",C169&lt;&gt;"",I167=""),"Escriba la fecha de salida del país extranjero en I167",IF(AND(C167&lt;&gt;"",C169&lt;&gt;"",F169=""),"Escriba la hora de salida del país extranjero en F169",IF(AND(C173&lt;&gt;"",F173=""),"Escriba el Nº de noches del alojamiento en F173",IF(AND(G173&lt;&gt;"",I173=""),"Escriba el Nº de noches del alojamiento de pagos a terceros con Acuerdo Marco en I173","")))))))))))))</f>
        <v/>
      </c>
      <c r="C6" s="1239"/>
      <c r="D6" s="1239"/>
      <c r="E6" s="1239"/>
      <c r="F6" s="1239"/>
      <c r="G6" s="1239"/>
      <c r="H6" s="1239"/>
      <c r="I6" s="1240"/>
    </row>
    <row r="7" spans="1:62" ht="13.2" customHeight="1" x14ac:dyDescent="0.3">
      <c r="A7" s="1309"/>
      <c r="B7" s="938"/>
      <c r="C7" s="939"/>
      <c r="D7" s="1198" t="str">
        <f>IF(AND(OR(I60="",I60="Elija la Opción    ▼"),I57&lt;&gt;""),"Responda a la pregunta en I60","")</f>
        <v/>
      </c>
      <c r="E7" s="939" t="str">
        <f>IF(AND(B3="",B4="",B5="",B6="",D7="",B8="",T19=""),"SU LIQUIDACIÓN NO PRESENTA ERRORES ACCEDA A LA HOJA LIQUIDACIÓN-GASTOS","")</f>
        <v/>
      </c>
      <c r="F7" s="939"/>
      <c r="G7" s="939"/>
      <c r="H7" s="939"/>
      <c r="I7" s="940"/>
    </row>
    <row r="8" spans="1:62" ht="13.2" customHeight="1" x14ac:dyDescent="0.3">
      <c r="A8" s="1310"/>
      <c r="B8" s="1244" t="str">
        <f>IF(AND(OR(E10="Elija la Opción    ▼",E10=""),'LIQUIDACIÓN-GASTOS'!AL78&lt;&gt;0),"Responda si desea renunciar a una parte de la liquidación, celda E10","")</f>
        <v/>
      </c>
      <c r="C8" s="1245"/>
      <c r="D8" s="1245"/>
      <c r="E8" s="1245"/>
      <c r="F8" s="1245"/>
      <c r="G8" s="1245"/>
      <c r="H8" s="1245"/>
      <c r="I8" s="1246"/>
      <c r="K8" s="679">
        <v>36526</v>
      </c>
      <c r="L8" s="636">
        <v>4.1666666666666699E-2</v>
      </c>
    </row>
    <row r="9" spans="1:62" ht="13.2" customHeight="1" x14ac:dyDescent="0.25">
      <c r="A9" s="948"/>
      <c r="B9" s="1231" t="s">
        <v>11</v>
      </c>
      <c r="C9" s="1232"/>
      <c r="D9" s="1233"/>
      <c r="E9" s="1234"/>
      <c r="F9" s="1241" t="str">
        <f>T19</f>
        <v/>
      </c>
      <c r="G9" s="1242"/>
      <c r="H9" s="1242"/>
      <c r="I9" s="1243"/>
      <c r="K9" s="679">
        <v>402133</v>
      </c>
      <c r="L9" s="699">
        <v>1.04097222222222</v>
      </c>
    </row>
    <row r="10" spans="1:62" ht="13.2" customHeight="1" x14ac:dyDescent="0.25">
      <c r="A10" s="949"/>
      <c r="B10" s="1223" t="s">
        <v>12</v>
      </c>
      <c r="C10" s="1224"/>
      <c r="D10" s="1224"/>
      <c r="E10" s="1917" t="s">
        <v>17</v>
      </c>
      <c r="F10" s="1225" t="s">
        <v>1188</v>
      </c>
      <c r="G10" s="1226"/>
      <c r="H10" s="1227"/>
      <c r="I10" s="937" t="str">
        <f>IF(I11=0,"","Importe de su liquidación ")</f>
        <v/>
      </c>
      <c r="L10" s="698"/>
    </row>
    <row r="11" spans="1:62" ht="13.95" customHeight="1" x14ac:dyDescent="0.25">
      <c r="A11" s="950"/>
      <c r="B11" s="1217" t="s">
        <v>14</v>
      </c>
      <c r="C11" s="1218"/>
      <c r="D11" s="1218"/>
      <c r="E11" s="935" t="s">
        <v>17</v>
      </c>
      <c r="F11" s="1219" t="s">
        <v>15</v>
      </c>
      <c r="G11" s="1220"/>
      <c r="H11" s="1220"/>
      <c r="I11" s="936">
        <f>'LIQUIDACIÓN-GASTOS'!AL78</f>
        <v>0</v>
      </c>
      <c r="N11" s="680"/>
    </row>
    <row r="12" spans="1:62" ht="13.2" customHeight="1" x14ac:dyDescent="0.25">
      <c r="D12" s="609"/>
      <c r="E12" s="1286" t="str">
        <f>'LIQUIDACIÓN-GASTOS'!AF9</f>
        <v/>
      </c>
      <c r="F12" s="1286"/>
      <c r="G12" s="1286"/>
      <c r="H12" s="1286"/>
      <c r="I12" s="1286"/>
    </row>
    <row r="13" spans="1:62" ht="12.6" thickBot="1" x14ac:dyDescent="0.3">
      <c r="B13" s="595"/>
      <c r="C13" s="639" t="s">
        <v>16</v>
      </c>
      <c r="D13" s="609"/>
      <c r="E13" s="1286"/>
      <c r="F13" s="1286"/>
      <c r="G13" s="1286"/>
      <c r="H13" s="1286"/>
      <c r="I13" s="1286"/>
      <c r="T13" s="1307" t="str">
        <f>IF(FORMULARIO!H24="Elija la Opción    ▼",_xlfn._LONGTEXT("Seleccione desde el menú desplegable la convocatoria que corresponda a su proyecto.
Si el proyecto está financiado por el Ministerio, pero no aparece entre los tipos disponibles, seleccione 'Ministerio' como opción. Para los proyectos PPIT-FEDER, seleccio","ne Normativa US.
 Para los proyectos EUROPEOS elija las normativas de la US. "),"")</f>
        <v xml:space="preserve">Seleccione desde el menú desplegable la convocatoria que corresponda a su proyecto.
Si el proyecto está financiado por el Ministerio, pero no aparece entre los tipos disponibles, seleccione 'Ministerio' como opción. Para los proyectos PPIT-FEDER, seleccione Normativa US.
 Para los proyectos EUROPEOS elija las normativas de la US. </v>
      </c>
      <c r="U13" s="1307"/>
      <c r="V13" s="1307"/>
      <c r="W13" s="1307"/>
      <c r="X13" s="1307"/>
      <c r="Y13" s="1307"/>
    </row>
    <row r="14" spans="1:62" ht="13.8" thickTop="1" x14ac:dyDescent="0.25">
      <c r="C14" s="640"/>
      <c r="D14" s="641"/>
      <c r="E14" s="641"/>
      <c r="F14" s="641"/>
      <c r="G14" s="641"/>
      <c r="H14" s="641"/>
      <c r="I14" s="642"/>
      <c r="J14"/>
      <c r="L14" t="s">
        <v>17</v>
      </c>
    </row>
    <row r="15" spans="1:62" ht="13.2" x14ac:dyDescent="0.25">
      <c r="C15" s="643" t="s">
        <v>18</v>
      </c>
      <c r="F15" s="638" t="s">
        <v>19</v>
      </c>
      <c r="H15" s="638" t="s">
        <v>20</v>
      </c>
      <c r="I15" s="644"/>
      <c r="L15" t="s">
        <v>21</v>
      </c>
    </row>
    <row r="16" spans="1:62" ht="13.2" x14ac:dyDescent="0.25">
      <c r="C16" s="1315"/>
      <c r="D16" s="1282"/>
      <c r="F16" s="1071"/>
      <c r="H16" s="1282" t="s">
        <v>17</v>
      </c>
      <c r="I16" s="1287"/>
      <c r="L16" s="67" t="s">
        <v>22</v>
      </c>
      <c r="T16"/>
    </row>
    <row r="17" spans="2:32" x14ac:dyDescent="0.2">
      <c r="C17" s="645"/>
      <c r="I17" s="644"/>
      <c r="T17" s="1127"/>
    </row>
    <row r="18" spans="2:32" ht="12" x14ac:dyDescent="0.25">
      <c r="C18" s="643" t="s">
        <v>23</v>
      </c>
      <c r="F18" s="638" t="s">
        <v>24</v>
      </c>
      <c r="H18" s="161" t="s">
        <v>25</v>
      </c>
      <c r="I18" s="644"/>
      <c r="W18" s="808" t="str">
        <f>IF(AND($W$19=$V23,$X$19&lt;&gt;$U23),"La orgánica indicada no opera con el proyecto seleccionado","")</f>
        <v/>
      </c>
    </row>
    <row r="19" spans="2:32" ht="13.5" customHeight="1" thickBot="1" x14ac:dyDescent="0.25">
      <c r="C19" s="1316"/>
      <c r="D19" s="1317"/>
      <c r="E19" s="608"/>
      <c r="F19" s="1317"/>
      <c r="G19" s="1317"/>
      <c r="H19" s="1318"/>
      <c r="I19" s="1319"/>
      <c r="T19" s="818" t="str">
        <f>IF(OR(T23&lt;&gt;"",T24&lt;&gt;"",T25&lt;&gt;"",T26&lt;&gt;"",T27&lt;&gt;"",T28&lt;&gt;"",T29&lt;&gt;"",T30&lt;&gt;"",T31&lt;&gt;"",T32&lt;&gt;"",T33&lt;&gt;"",T34&lt;&gt;"",T35&lt;&gt;"",T34&lt;&gt;"",T34&lt;&gt;"",T35&lt;&gt;"",T36&lt;&gt;"",T36&lt;&gt;"",T37&lt;&gt;"",T38&lt;&gt;"",T39&lt;&gt;"",T40&lt;&gt;"",T41&lt;&gt;"",T42&lt;&gt;"",T43&lt;&gt;"",T44&lt;&gt;"",T45&lt;&gt;"",T46&lt;&gt;"",T47&lt;&gt;"",T48&lt;&gt;"",T49&lt;&gt;"",T50&lt;&gt;"",T51&lt;&gt;"",T52&lt;&gt;"",T53&lt;&gt;""),"La orgánica indicada no opera con la convocatoria elegida","")</f>
        <v/>
      </c>
      <c r="W19" s="808" t="str">
        <f>H24</f>
        <v>Elija la Opción    ▼</v>
      </c>
      <c r="X19" s="161" t="str">
        <f>MID(C24,7,2)</f>
        <v/>
      </c>
      <c r="Y19" s="808" t="str">
        <f>IF(OR(AND(W19&lt;&gt;V32),X19&lt;&gt;"21","22","24","26","50","51","54","56","58","85","87"),"La orgánica indicada en la celda C24, no opera con el proyecto seleccionado en la celda H24","")</f>
        <v>La orgánica indicada en la celda C24, no opera con el proyecto seleccionado en la celda H24</v>
      </c>
    </row>
    <row r="20" spans="2:32" x14ac:dyDescent="0.2">
      <c r="C20" s="647"/>
      <c r="D20" s="1043"/>
      <c r="E20" s="1043"/>
      <c r="F20" s="1043"/>
      <c r="G20" s="1043"/>
      <c r="H20" s="1043"/>
      <c r="I20" s="648"/>
      <c r="V20" s="1125" t="str">
        <f>IFERROR(IF(G54="SÍ",VLOOKUP(H24,V23:X53,3,0),VLOOKUP(H24,V23:X53,2,0)),"Elija la Opción    ▼")</f>
        <v>Elija la Opción    ▼</v>
      </c>
      <c r="W20" s="1125"/>
      <c r="X20" s="811" t="s">
        <v>26</v>
      </c>
      <c r="Y20" s="161" t="str">
        <f>G54</f>
        <v>Elija la Opción    ▼</v>
      </c>
    </row>
    <row r="21" spans="2:32" ht="13.8" thickBot="1" x14ac:dyDescent="0.3">
      <c r="B21" s="595"/>
      <c r="C21" s="649" t="s">
        <v>27</v>
      </c>
      <c r="D21" s="1043"/>
      <c r="E21" s="1043"/>
      <c r="F21" s="1043"/>
      <c r="G21" s="1043"/>
      <c r="H21" s="1043"/>
      <c r="I21" s="648"/>
      <c r="T21"/>
      <c r="V21" s="161" t="str">
        <f>IFERROR(IF(G113="SÍ",VLOOKUP(H24,V23:X50,3,0),VLOOKUP(H24,V23:X50,2,0)),"")</f>
        <v/>
      </c>
      <c r="X21" s="810" t="s">
        <v>28</v>
      </c>
      <c r="Y21" s="161" t="str">
        <f>G113</f>
        <v>Elija la Opción    ▼</v>
      </c>
      <c r="Z21" s="161" t="e">
        <f>IF(AND(G113="SÍ",#REF!&gt;1),VLOOKUP(H24,V23:X47,3,0))</f>
        <v>#REF!</v>
      </c>
      <c r="AA21" s="161" t="e">
        <f>IF(G113="SÍ",VLOOKUP(H24,V23:X47,3,0),VLOOKUP(H24,V23:X47,2,0))</f>
        <v>#N/A</v>
      </c>
    </row>
    <row r="22" spans="2:32" ht="13.5" customHeight="1" thickBot="1" x14ac:dyDescent="0.3">
      <c r="C22" s="649"/>
      <c r="D22" s="1043"/>
      <c r="E22" s="1043"/>
      <c r="F22" s="1043"/>
      <c r="G22" s="1043"/>
      <c r="H22" s="1044"/>
      <c r="I22" s="648"/>
      <c r="J22" s="1328" t="str">
        <f>IF(H24="Elija la Opción    ▼","","Los importes de las dietas correspondientes a la convocatoria que usted ha seleccionado se establecen conforme a lo dispuesto en el siguiente decreto/normativa.")</f>
        <v/>
      </c>
      <c r="K22" s="1328"/>
      <c r="L22" s="1328"/>
      <c r="M22" s="1328"/>
      <c r="N22" s="1328"/>
      <c r="O22" s="1328"/>
      <c r="P22" s="1329"/>
      <c r="V22" s="67" t="s">
        <v>17</v>
      </c>
      <c r="W22" s="104"/>
      <c r="X22" s="67" t="s">
        <v>17</v>
      </c>
      <c r="Z22" s="161" t="e">
        <f>IF(AND(G113="SÍ",#REF!&gt;1),VLOOKUP(H24,V23:X47,3,0),"")</f>
        <v>#REF!</v>
      </c>
      <c r="AF22" s="1129" t="s">
        <v>17</v>
      </c>
    </row>
    <row r="23" spans="2:32" ht="13.2" customHeight="1" x14ac:dyDescent="0.25">
      <c r="C23" s="650" t="s">
        <v>29</v>
      </c>
      <c r="D23" s="612"/>
      <c r="E23" s="612"/>
      <c r="F23" s="614" t="s">
        <v>30</v>
      </c>
      <c r="G23" s="612"/>
      <c r="H23" s="614" t="s">
        <v>31</v>
      </c>
      <c r="I23" s="1045" t="s">
        <v>32</v>
      </c>
      <c r="J23" s="1311"/>
      <c r="K23" s="1311"/>
      <c r="L23" s="1311"/>
      <c r="M23" s="1311"/>
      <c r="N23" s="1311"/>
      <c r="O23" s="1311"/>
      <c r="P23" s="1330"/>
      <c r="T23" s="816" t="str">
        <f>IF(AND($W$19=$V23,$X$19&lt;&gt;"37"),"La orgánica indicada no opera con el proyecto seleccionado","")</f>
        <v/>
      </c>
      <c r="U23" s="161">
        <v>37</v>
      </c>
      <c r="V23" s="714" t="s">
        <v>33</v>
      </c>
      <c r="W23" s="104" t="s">
        <v>34</v>
      </c>
      <c r="X23" s="714" t="s">
        <v>35</v>
      </c>
      <c r="AB23" s="714" t="s">
        <v>34</v>
      </c>
      <c r="AF23" s="1130" t="s">
        <v>33</v>
      </c>
    </row>
    <row r="24" spans="2:32" ht="13.2" customHeight="1" x14ac:dyDescent="0.25">
      <c r="C24" s="1296"/>
      <c r="D24" s="1297"/>
      <c r="F24" s="1042"/>
      <c r="H24" s="1290" t="s">
        <v>17</v>
      </c>
      <c r="I24" s="1291"/>
      <c r="J24" s="1311"/>
      <c r="K24" s="1311"/>
      <c r="L24" s="1311"/>
      <c r="M24" s="1311"/>
      <c r="N24" s="1311"/>
      <c r="O24" s="1311"/>
      <c r="P24" s="1330"/>
      <c r="T24" s="816" t="str">
        <f>IF(AND($W$19=$V24,$X$19&lt;&gt;"37"),"La orgánica indicada no opera con el proyecto seleccionado","")</f>
        <v/>
      </c>
      <c r="U24" s="161">
        <v>37</v>
      </c>
      <c r="V24" s="714" t="s">
        <v>37</v>
      </c>
      <c r="W24" s="714" t="s">
        <v>38</v>
      </c>
      <c r="X24" s="714" t="s">
        <v>35</v>
      </c>
      <c r="AB24" s="714" t="s">
        <v>35</v>
      </c>
      <c r="AF24" s="1130" t="s">
        <v>37</v>
      </c>
    </row>
    <row r="25" spans="2:32" ht="13.2" customHeight="1" x14ac:dyDescent="0.25">
      <c r="C25" s="1274"/>
      <c r="D25" s="1275"/>
      <c r="H25" s="1292"/>
      <c r="I25" s="1293"/>
      <c r="J25" s="1311"/>
      <c r="K25" s="1311"/>
      <c r="L25" s="1311"/>
      <c r="M25" s="1311"/>
      <c r="N25" s="1311"/>
      <c r="O25" s="1311"/>
      <c r="P25" s="1330"/>
      <c r="T25" s="816" t="str">
        <f>IF(AND($W$19=$V25,$X$19&lt;&gt;"30"),"La orgánica indicada no opera con el proyecto seleccionado","")</f>
        <v/>
      </c>
      <c r="U25" s="161">
        <v>30</v>
      </c>
      <c r="V25" s="714" t="s">
        <v>39</v>
      </c>
      <c r="W25" s="714" t="s">
        <v>40</v>
      </c>
      <c r="X25" s="714" t="s">
        <v>41</v>
      </c>
      <c r="AB25" s="714" t="s">
        <v>38</v>
      </c>
      <c r="AF25" s="1130" t="s">
        <v>39</v>
      </c>
    </row>
    <row r="26" spans="2:32" ht="13.2" customHeight="1" thickBot="1" x14ac:dyDescent="0.3">
      <c r="C26" s="643" t="s">
        <v>42</v>
      </c>
      <c r="F26" s="638" t="s">
        <v>43</v>
      </c>
      <c r="H26" s="1292"/>
      <c r="I26" s="1293"/>
      <c r="J26" s="1331"/>
      <c r="K26" s="1331"/>
      <c r="L26" s="1331"/>
      <c r="M26" s="1331"/>
      <c r="N26" s="1331"/>
      <c r="O26" s="1331"/>
      <c r="P26" s="1332"/>
      <c r="T26" s="816" t="str">
        <f>IF(AND($W$19=$V26,$X$19&lt;&gt;"37"),"La orgánica indicada no opera con el proyecto seleccionado","")</f>
        <v/>
      </c>
      <c r="U26" s="161">
        <v>37</v>
      </c>
      <c r="V26" s="714" t="s">
        <v>44</v>
      </c>
      <c r="W26" s="714" t="s">
        <v>45</v>
      </c>
      <c r="X26" s="1123" t="s">
        <v>46</v>
      </c>
      <c r="AB26" s="714" t="s">
        <v>47</v>
      </c>
      <c r="AF26" s="1133" t="s">
        <v>48</v>
      </c>
    </row>
    <row r="27" spans="2:32" ht="13.2" customHeight="1" x14ac:dyDescent="0.25">
      <c r="C27" s="1315" t="s">
        <v>87</v>
      </c>
      <c r="D27" s="1282"/>
      <c r="F27" s="1282"/>
      <c r="G27" s="1283"/>
      <c r="H27" s="1294"/>
      <c r="I27" s="1295"/>
      <c r="J27" s="1311" t="str">
        <f>'LIQUIDACIÓN-GASTOS'!AF2</f>
        <v/>
      </c>
      <c r="K27" s="1311"/>
      <c r="L27" s="1311"/>
      <c r="M27" s="1311"/>
      <c r="N27" s="1311"/>
      <c r="O27" s="1312"/>
      <c r="T27" s="816" t="str">
        <f>IF(AND($W$19=$V27,$X$19&lt;&gt;"37"),"La orgánica indicada no opera con el proyecto seleccionado","")</f>
        <v/>
      </c>
      <c r="U27" s="161">
        <v>37</v>
      </c>
      <c r="V27" s="106" t="s">
        <v>50</v>
      </c>
      <c r="W27" s="106" t="s">
        <v>51</v>
      </c>
      <c r="X27" s="810" t="s">
        <v>52</v>
      </c>
      <c r="AB27" s="714" t="s">
        <v>40</v>
      </c>
      <c r="AF27" s="1131" t="s">
        <v>44</v>
      </c>
    </row>
    <row r="28" spans="2:32" ht="13.2" x14ac:dyDescent="0.25">
      <c r="C28" s="1280"/>
      <c r="D28" s="1281"/>
      <c r="F28"/>
      <c r="G28" s="680"/>
      <c r="H28" s="1320" t="str">
        <f>T13</f>
        <v xml:space="preserve">Seleccione desde el menú desplegable la convocatoria que corresponda a su proyecto.
Si el proyecto está financiado por el Ministerio, pero no aparece entre los tipos disponibles, seleccione 'Ministerio' como opción. Para los proyectos PPIT-FEDER, seleccione Normativa US.
 Para los proyectos EUROPEOS elija las normativas de la US. </v>
      </c>
      <c r="I28" s="1321"/>
      <c r="J28" s="1313"/>
      <c r="K28" s="1313"/>
      <c r="L28" s="1313"/>
      <c r="M28" s="1313"/>
      <c r="N28" s="1313"/>
      <c r="O28" s="1314"/>
      <c r="T28" s="818" t="str">
        <f>IF(AND($W$19=$V28,$X$19&lt;&gt;"35"),"La orgánica indicada no opera con el proyecto seleccionado","")</f>
        <v/>
      </c>
      <c r="U28" s="161">
        <v>35</v>
      </c>
      <c r="V28" s="715" t="s">
        <v>53</v>
      </c>
      <c r="W28" s="712" t="s">
        <v>54</v>
      </c>
      <c r="X28" s="1122" t="s">
        <v>55</v>
      </c>
      <c r="AB28" s="714" t="s">
        <v>41</v>
      </c>
      <c r="AF28" s="1130" t="s">
        <v>50</v>
      </c>
    </row>
    <row r="29" spans="2:32" ht="13.2" x14ac:dyDescent="0.25">
      <c r="C29" s="692" t="s">
        <v>56</v>
      </c>
      <c r="D29" s="7"/>
      <c r="E29" s="10"/>
      <c r="F29" s="1046" t="s">
        <v>57</v>
      </c>
      <c r="G29" s="1038"/>
      <c r="H29" s="1322"/>
      <c r="I29" s="1323"/>
      <c r="J29" s="637"/>
      <c r="K29" s="495"/>
      <c r="T29" s="816" t="str">
        <f>IF(AND($W$19=$V29,$X$19&lt;&gt;"35"),"La orgánica indicada no opera con el proyecto seleccionado","")</f>
        <v/>
      </c>
      <c r="U29" s="161">
        <v>35</v>
      </c>
      <c r="V29" s="711" t="s">
        <v>58</v>
      </c>
      <c r="W29" s="711" t="s">
        <v>59</v>
      </c>
      <c r="X29" s="1124" t="s">
        <v>60</v>
      </c>
      <c r="AB29" s="714" t="s">
        <v>51</v>
      </c>
      <c r="AF29" s="1132" t="s">
        <v>61</v>
      </c>
    </row>
    <row r="30" spans="2:32" ht="13.2" customHeight="1" x14ac:dyDescent="0.25">
      <c r="C30" s="652"/>
      <c r="F30" s="1284"/>
      <c r="G30" s="1285"/>
      <c r="H30" s="1322"/>
      <c r="I30" s="1323"/>
      <c r="K30" s="67"/>
      <c r="T30" s="816" t="str">
        <f>IF(AND($W$19=$V30,$X$19&lt;&gt;"30"),"La orgánica indicada no opera con el proyecto seleccionado","")</f>
        <v/>
      </c>
      <c r="U30" s="161">
        <v>30</v>
      </c>
      <c r="V30" s="711" t="s">
        <v>62</v>
      </c>
      <c r="W30" s="711" t="s">
        <v>63</v>
      </c>
      <c r="X30" s="711" t="s">
        <v>64</v>
      </c>
      <c r="AB30" s="714" t="s">
        <v>52</v>
      </c>
      <c r="AF30" s="1133" t="s">
        <v>58</v>
      </c>
    </row>
    <row r="31" spans="2:32" ht="13.2" customHeight="1" x14ac:dyDescent="0.25">
      <c r="C31" s="643" t="s">
        <v>65</v>
      </c>
      <c r="F31" s="638" t="s">
        <v>66</v>
      </c>
      <c r="H31" s="1322"/>
      <c r="I31" s="1323"/>
      <c r="T31" s="816" t="str">
        <f>IF(AND($W$19=$V31,$X$19&lt;&gt;"36"),"La orgánica indicada no opera con el proyecto seleccionado","")</f>
        <v/>
      </c>
      <c r="U31" s="161">
        <v>36</v>
      </c>
      <c r="V31" s="711" t="s">
        <v>67</v>
      </c>
      <c r="W31" s="711" t="s">
        <v>68</v>
      </c>
      <c r="X31" s="711" t="s">
        <v>69</v>
      </c>
      <c r="AB31" s="106" t="s">
        <v>45</v>
      </c>
      <c r="AF31" s="1178" t="s">
        <v>1182</v>
      </c>
    </row>
    <row r="32" spans="2:32" ht="13.95" customHeight="1" thickBot="1" x14ac:dyDescent="0.3">
      <c r="C32" s="1326"/>
      <c r="D32" s="1327"/>
      <c r="E32" s="608"/>
      <c r="F32" s="1317"/>
      <c r="G32" s="1317"/>
      <c r="H32" s="1324"/>
      <c r="I32" s="1325"/>
      <c r="T32" s="816" t="str">
        <f>IF(AND($W$19=$V32,$X$19&lt;&gt;"36"),"La orgánica indicada no opera con el proyecto seleccionado","")</f>
        <v/>
      </c>
      <c r="U32" s="161">
        <v>36</v>
      </c>
      <c r="V32" s="711" t="s">
        <v>70</v>
      </c>
      <c r="W32" s="711" t="s">
        <v>71</v>
      </c>
      <c r="X32" s="711" t="s">
        <v>72</v>
      </c>
      <c r="AB32" s="106" t="s">
        <v>46</v>
      </c>
      <c r="AF32" s="1133" t="s">
        <v>62</v>
      </c>
    </row>
    <row r="33" spans="1:32" ht="13.2" customHeight="1" x14ac:dyDescent="0.25">
      <c r="C33" s="647"/>
      <c r="D33" s="1043"/>
      <c r="E33" s="1043"/>
      <c r="F33" s="1043"/>
      <c r="G33" s="1043"/>
      <c r="H33" s="1043"/>
      <c r="I33" s="648"/>
      <c r="R33" s="565" t="str">
        <f>IF(AND(X19="21",V33=W19),"La orgánica indicada no opera con el proyecto seleccionado",IF(AND(X19="22",V33=W19),"La orgánica indicada no opera con el proyecto seleccionado",IF(AND(X19="23",V33=W19),"La orgánica indicada no opera con el proyecto seleccionado",IF(AND(X19="24",V33=W19),"La orgánica indicada no opera con el proyecto seleccionado",IF(AND(X19="26",V33=W19),"La orgánica indicada no opera con el proyecto seleccionado",IF(AND(X19="50",V33=W19),"La orgánica indicada no opera con el proyecto seleccionado",IF(AND(X19="51",V33=W19),"La orgánica indicada no opera con el proyecto seleccionado",IF(AND(X19="54",V33=W19),"La orgánica indicada no opera con el proyecto seleccionado",IF(AND(X19="56",V33=W19),"La orgánica indicada no opera con el proyecto seleccionado",IF(AND(X19="58",V33=W19),"La orgánica indicada no opera con el proyecto seleccionado",IF(AND(X19="85",V33=W19),"La orgánica indicada no opera con el proyecto seleccionado",IF(AND(X19="87",V33=W19),"La orgánica indicada no opera con el proyecto seleccionado",IF(AND(X19="71",V33=W19),"La orgánica indicada no opera con el proyecto seleccionado",IF(AND(X19="11",V33=W19),"La orgánica indicada no opera con el proyecto seleccionado",""))))))))))))))</f>
        <v/>
      </c>
      <c r="S33"/>
      <c r="T33" s="817" t="str">
        <f>IF(AND(X19&lt;&gt;"21",X19&lt;&gt;"22",X19&lt;&gt;"24",X19&lt;&gt;"26",X19&lt;&gt;"50",X19&lt;&gt;"51",X19&lt;&gt;"54",X19&lt;&gt;"55",X19&lt;&gt;"56",X19&lt;&gt;"58",X19&lt;&gt;"59",X19&lt;&gt;"85",X19&lt;&gt;"87",X19&lt;&gt;"09",W19=V33),"La orgánica que ha indicado no opera con el proyecto seleccionado","")</f>
        <v/>
      </c>
      <c r="U33" s="161" t="s">
        <v>73</v>
      </c>
      <c r="V33" s="715" t="s">
        <v>74</v>
      </c>
      <c r="W33" s="715" t="s">
        <v>75</v>
      </c>
      <c r="X33" s="752" t="s">
        <v>76</v>
      </c>
      <c r="AB33" s="711" t="s">
        <v>77</v>
      </c>
      <c r="AF33" s="1133" t="s">
        <v>67</v>
      </c>
    </row>
    <row r="34" spans="1:32" ht="13.2" x14ac:dyDescent="0.25">
      <c r="B34" s="595"/>
      <c r="C34" s="675" t="s">
        <v>78</v>
      </c>
      <c r="D34" s="1047"/>
      <c r="E34" s="1047"/>
      <c r="F34" s="1043"/>
      <c r="G34" s="1043"/>
      <c r="H34" s="1043"/>
      <c r="I34" s="648"/>
      <c r="T34" s="817" t="str">
        <f>IF(AND(X19="71",X19="23",X19="21",X19="22",X19="24",X19="11",X19="23",X19="50",X19="51",X19="54",X19="56",X19="58",X19="85",X19="89",W19=V34)," La orgánica indicada no opera con el proyecto seleccionado","")</f>
        <v/>
      </c>
      <c r="U34" s="161">
        <v>30</v>
      </c>
      <c r="V34" s="715" t="s">
        <v>79</v>
      </c>
      <c r="W34" s="715" t="s">
        <v>79</v>
      </c>
      <c r="X34" s="715" t="s">
        <v>79</v>
      </c>
      <c r="AB34" s="711" t="s">
        <v>60</v>
      </c>
      <c r="AF34" s="1133" t="s">
        <v>70</v>
      </c>
    </row>
    <row r="35" spans="1:32" ht="13.95" customHeight="1" thickBot="1" x14ac:dyDescent="0.3">
      <c r="C35" s="647"/>
      <c r="D35" s="1043"/>
      <c r="E35" s="1043"/>
      <c r="F35" s="1043"/>
      <c r="G35" s="1043"/>
      <c r="H35" s="1043"/>
      <c r="I35" s="648"/>
      <c r="T35" s="818" t="str">
        <f>IF(AND(X19&lt;&gt;"23",X19&lt;&gt;"71",X19&lt;&gt;"11",X19&lt;&gt;"59",X19&lt;&gt;"00",X19&lt;&gt;"02",X19&lt;&gt;"09", X19&lt;&gt;"08",X19&lt;&gt;"85",X19&lt;&gt;"39",W19=V35),"La orgánica indicada no opera con el proyecto seleccionado","")</f>
        <v/>
      </c>
      <c r="U35" s="161" t="s">
        <v>80</v>
      </c>
      <c r="V35" s="711" t="s">
        <v>36</v>
      </c>
      <c r="W35" s="711" t="s">
        <v>81</v>
      </c>
      <c r="X35" s="713" t="s">
        <v>82</v>
      </c>
      <c r="AB35" s="711" t="s">
        <v>63</v>
      </c>
      <c r="AF35" s="1132" t="s">
        <v>74</v>
      </c>
    </row>
    <row r="36" spans="1:32" ht="13.2" customHeight="1" x14ac:dyDescent="0.25">
      <c r="C36" s="650" t="s">
        <v>83</v>
      </c>
      <c r="D36" s="614" t="s">
        <v>84</v>
      </c>
      <c r="E36" s="612"/>
      <c r="F36" s="614" t="s">
        <v>85</v>
      </c>
      <c r="G36" s="612"/>
      <c r="H36" s="612"/>
      <c r="I36" s="651"/>
      <c r="K36" s="15" t="s">
        <v>86</v>
      </c>
      <c r="M36" s="67" t="s">
        <v>87</v>
      </c>
      <c r="T36" s="818" t="str">
        <f>IF(AND($W$19=$V36,$X$19&lt;&gt;"35"),"La orgánica indicada no opera con el proyecto seleccionado","")</f>
        <v/>
      </c>
      <c r="U36" s="161">
        <v>35</v>
      </c>
      <c r="V36" s="809" t="s">
        <v>88</v>
      </c>
      <c r="W36" s="716" t="s">
        <v>88</v>
      </c>
      <c r="X36" s="716" t="s">
        <v>88</v>
      </c>
      <c r="AB36" s="711" t="s">
        <v>64</v>
      </c>
      <c r="AF36" s="1180" t="s">
        <v>79</v>
      </c>
    </row>
    <row r="37" spans="1:32" ht="13.2" customHeight="1" x14ac:dyDescent="0.25">
      <c r="C37" s="653"/>
      <c r="F37" s="1282"/>
      <c r="G37" s="1282"/>
      <c r="I37" s="644"/>
      <c r="K37" s="15" t="s">
        <v>89</v>
      </c>
      <c r="M37" s="67" t="s">
        <v>90</v>
      </c>
      <c r="T37" s="818" t="str">
        <f>IF(AND($W$19=$V37,$X$19&lt;&gt;"35"),"La orgánica indicada no opera con el proyecto seleccionado","")</f>
        <v/>
      </c>
      <c r="U37" s="161">
        <v>35</v>
      </c>
      <c r="V37" s="716" t="s">
        <v>91</v>
      </c>
      <c r="W37" s="716" t="s">
        <v>91</v>
      </c>
      <c r="X37" s="716" t="s">
        <v>91</v>
      </c>
      <c r="AB37" s="711" t="s">
        <v>68</v>
      </c>
      <c r="AF37" s="1133" t="s">
        <v>36</v>
      </c>
    </row>
    <row r="38" spans="1:32" ht="13.2" customHeight="1" x14ac:dyDescent="0.25">
      <c r="C38" s="645"/>
      <c r="I38" s="644"/>
      <c r="K38" s="15" t="s">
        <v>92</v>
      </c>
      <c r="M38" s="67" t="s">
        <v>49</v>
      </c>
      <c r="T38" s="818" t="str">
        <f>IF(AND($W$19=$V38,$X$19&lt;&gt;"36"),"La orgánica indicada no opera con el proyecto seleccionado","")</f>
        <v/>
      </c>
      <c r="U38" s="161">
        <v>36</v>
      </c>
      <c r="V38" s="1126" t="s">
        <v>93</v>
      </c>
      <c r="W38" s="814" t="s">
        <v>94</v>
      </c>
      <c r="X38" s="813" t="s">
        <v>95</v>
      </c>
      <c r="AB38" s="711" t="s">
        <v>69</v>
      </c>
      <c r="AF38" s="1148" t="s">
        <v>88</v>
      </c>
    </row>
    <row r="39" spans="1:32" ht="13.2" x14ac:dyDescent="0.25">
      <c r="B39"/>
      <c r="C39" s="654" t="s">
        <v>86</v>
      </c>
      <c r="D39" s="600">
        <v>0</v>
      </c>
      <c r="E39" s="594"/>
      <c r="F39" s="599" t="s">
        <v>86</v>
      </c>
      <c r="G39" s="600">
        <v>0</v>
      </c>
      <c r="I39" s="644"/>
      <c r="K39" s="15" t="s">
        <v>97</v>
      </c>
      <c r="M39" s="67" t="s">
        <v>98</v>
      </c>
      <c r="T39" s="818" t="str">
        <f>IF(AND($W$19=$V39,$X$19&lt;&gt;"36"),"La orgánica indicada no opera con el proyecto seleccionado","")</f>
        <v/>
      </c>
      <c r="U39" s="161">
        <v>36</v>
      </c>
      <c r="V39" s="711" t="s">
        <v>99</v>
      </c>
      <c r="W39" s="814" t="s">
        <v>100</v>
      </c>
      <c r="X39" s="814" t="s">
        <v>101</v>
      </c>
      <c r="AB39" s="711" t="s">
        <v>71</v>
      </c>
      <c r="AF39" s="1134" t="s">
        <v>91</v>
      </c>
    </row>
    <row r="40" spans="1:32" ht="13.2" customHeight="1" x14ac:dyDescent="0.25">
      <c r="A40" s="1306" t="s">
        <v>102</v>
      </c>
      <c r="B40" s="1306"/>
      <c r="C40" s="655" t="s">
        <v>86</v>
      </c>
      <c r="D40" s="605">
        <v>0</v>
      </c>
      <c r="E40" s="604"/>
      <c r="F40" s="603" t="s">
        <v>86</v>
      </c>
      <c r="G40" s="605">
        <v>0</v>
      </c>
      <c r="H40" s="1288" t="s">
        <v>102</v>
      </c>
      <c r="I40" s="1289"/>
      <c r="K40" s="15" t="s">
        <v>103</v>
      </c>
      <c r="M40" s="67" t="s">
        <v>104</v>
      </c>
      <c r="T40" s="818" t="str">
        <f>IF(AND($W$19=$V40,$X$19&lt;&gt;"33"),"La orgánica indicada no opera con el proyecto seleccionado","")</f>
        <v/>
      </c>
      <c r="U40" s="161">
        <v>33</v>
      </c>
      <c r="V40" s="711" t="s">
        <v>105</v>
      </c>
      <c r="W40" s="711" t="s">
        <v>106</v>
      </c>
      <c r="X40" s="711" t="s">
        <v>107</v>
      </c>
      <c r="AB40" s="711" t="s">
        <v>72</v>
      </c>
      <c r="AF40" s="1147" t="s">
        <v>93</v>
      </c>
    </row>
    <row r="41" spans="1:32" ht="13.2" x14ac:dyDescent="0.25">
      <c r="B41" s="690"/>
      <c r="C41" s="656" t="s">
        <v>86</v>
      </c>
      <c r="D41" s="601">
        <v>0</v>
      </c>
      <c r="E41" s="594"/>
      <c r="F41" s="597" t="s">
        <v>86</v>
      </c>
      <c r="G41" s="601">
        <v>0</v>
      </c>
      <c r="H41" s="688"/>
      <c r="I41" s="689"/>
      <c r="K41" s="15" t="s">
        <v>108</v>
      </c>
      <c r="T41" s="818" t="str">
        <f>IF(AND($W$19=$V41,$X$19&lt;&gt;"30"),"La orgánica indicada no opera con el proyecto seleccionado","")</f>
        <v/>
      </c>
      <c r="U41" s="161">
        <v>30</v>
      </c>
      <c r="V41" s="711" t="s">
        <v>109</v>
      </c>
      <c r="W41" s="711" t="s">
        <v>110</v>
      </c>
      <c r="X41" s="711" t="s">
        <v>111</v>
      </c>
      <c r="AB41" s="715" t="s">
        <v>75</v>
      </c>
      <c r="AF41" s="1133" t="s">
        <v>99</v>
      </c>
    </row>
    <row r="42" spans="1:32" ht="13.2" customHeight="1" x14ac:dyDescent="0.25">
      <c r="C42" s="657" t="s">
        <v>86</v>
      </c>
      <c r="D42" s="602">
        <v>0</v>
      </c>
      <c r="E42" s="594"/>
      <c r="F42" s="598" t="s">
        <v>86</v>
      </c>
      <c r="G42" s="602">
        <v>0</v>
      </c>
      <c r="I42" s="644"/>
      <c r="K42" s="15" t="s">
        <v>112</v>
      </c>
      <c r="T42" s="818" t="str">
        <f>IF(AND($X$19&lt;&gt;"30",$X$19&lt;&gt;"31",$W$19=$V42),"La orgánica indicada no opera con el proyecto seleccionado","")</f>
        <v/>
      </c>
      <c r="U42" s="161">
        <v>30</v>
      </c>
      <c r="V42" s="807" t="s">
        <v>113</v>
      </c>
      <c r="W42" s="712" t="s">
        <v>114</v>
      </c>
      <c r="X42" s="713" t="s">
        <v>115</v>
      </c>
      <c r="AB42" s="752" t="s">
        <v>76</v>
      </c>
      <c r="AF42" s="1133" t="s">
        <v>105</v>
      </c>
    </row>
    <row r="43" spans="1:32" ht="13.2" customHeight="1" x14ac:dyDescent="0.25">
      <c r="C43" s="645"/>
      <c r="I43" s="644"/>
      <c r="K43" s="15" t="s">
        <v>116</v>
      </c>
      <c r="T43" s="818" t="str">
        <f>IF(AND($W$19=$V43,$X$19&lt;&gt;"30"),"La orgánica indicada no opera con el proyecto seleccionado","")</f>
        <v/>
      </c>
      <c r="U43" s="161">
        <v>30</v>
      </c>
      <c r="V43" s="711" t="s">
        <v>117</v>
      </c>
      <c r="W43" s="711" t="s">
        <v>118</v>
      </c>
      <c r="X43" s="711" t="s">
        <v>119</v>
      </c>
      <c r="AB43" s="715" t="s">
        <v>79</v>
      </c>
      <c r="AF43" s="1133" t="s">
        <v>109</v>
      </c>
    </row>
    <row r="44" spans="1:32" ht="13.2" customHeight="1" x14ac:dyDescent="0.25">
      <c r="C44" s="643" t="s">
        <v>120</v>
      </c>
      <c r="G44" s="1048" t="s">
        <v>121</v>
      </c>
      <c r="H44" s="1049"/>
      <c r="I44" s="658"/>
      <c r="K44" s="15" t="s">
        <v>122</v>
      </c>
      <c r="T44" s="818" t="str">
        <f>IF(AND($W$19=$V44,$X$19&lt;&gt;"35"),"La orgánica indicada no opera con el proyecto seleccionado","")</f>
        <v/>
      </c>
      <c r="U44" s="161">
        <v>35</v>
      </c>
      <c r="V44" s="717" t="s">
        <v>123</v>
      </c>
      <c r="W44" s="717" t="s">
        <v>123</v>
      </c>
      <c r="X44" s="717" t="s">
        <v>123</v>
      </c>
      <c r="AB44" s="711" t="s">
        <v>81</v>
      </c>
      <c r="AF44" s="1135" t="s">
        <v>113</v>
      </c>
    </row>
    <row r="45" spans="1:32" ht="13.2" customHeight="1" x14ac:dyDescent="0.25">
      <c r="C45" s="659" t="s">
        <v>124</v>
      </c>
      <c r="E45" s="1050"/>
      <c r="G45" s="1051" t="s">
        <v>124</v>
      </c>
      <c r="I45" s="644"/>
      <c r="K45" s="15" t="s">
        <v>125</v>
      </c>
      <c r="T45" s="818" t="str">
        <f>IF(AND($W$19=$V45,$X$19&lt;&gt;"35"),"La orgánica indicada no opera con el proyecto seleccionado","")</f>
        <v/>
      </c>
      <c r="U45" s="161">
        <v>35</v>
      </c>
      <c r="V45" s="717" t="s">
        <v>126</v>
      </c>
      <c r="W45" s="717" t="s">
        <v>126</v>
      </c>
      <c r="X45" s="717" t="s">
        <v>126</v>
      </c>
      <c r="AB45" s="713" t="s">
        <v>82</v>
      </c>
      <c r="AF45" s="1133" t="s">
        <v>117</v>
      </c>
    </row>
    <row r="46" spans="1:32" ht="13.2" customHeight="1" x14ac:dyDescent="0.25">
      <c r="C46" s="660"/>
      <c r="G46" s="1052"/>
      <c r="I46" s="644"/>
      <c r="K46" s="67" t="s">
        <v>127</v>
      </c>
      <c r="T46" s="818" t="str">
        <f>IF(AND($W$19=$V46,$X$19&lt;&gt;"35"),"La orgánica indicada no opera con el proyecto seleccionado","")</f>
        <v/>
      </c>
      <c r="U46" s="161">
        <v>35</v>
      </c>
      <c r="V46" s="711" t="s">
        <v>128</v>
      </c>
      <c r="W46" s="711" t="s">
        <v>129</v>
      </c>
      <c r="X46" s="711" t="s">
        <v>130</v>
      </c>
      <c r="AB46" s="716" t="s">
        <v>88</v>
      </c>
      <c r="AF46" s="1136" t="s">
        <v>123</v>
      </c>
    </row>
    <row r="47" spans="1:32" ht="13.2" customHeight="1" x14ac:dyDescent="0.25">
      <c r="C47" s="643" t="s">
        <v>131</v>
      </c>
      <c r="I47" s="644"/>
      <c r="K47" s="15" t="s">
        <v>132</v>
      </c>
      <c r="T47" s="818" t="str">
        <f>IF(AND($W$19=$V47,$X$19&lt;&gt;"35"),"La orgánica indicada no opera con el proyecto seleccionado","")</f>
        <v/>
      </c>
      <c r="U47" s="161">
        <v>35</v>
      </c>
      <c r="V47" s="812" t="s">
        <v>133</v>
      </c>
      <c r="W47" s="812" t="s">
        <v>134</v>
      </c>
      <c r="X47" s="812" t="s">
        <v>135</v>
      </c>
      <c r="AB47" s="716" t="s">
        <v>91</v>
      </c>
      <c r="AF47" s="1179" t="s">
        <v>126</v>
      </c>
    </row>
    <row r="48" spans="1:32" ht="13.2" customHeight="1" x14ac:dyDescent="0.25">
      <c r="C48" s="643" t="s">
        <v>124</v>
      </c>
      <c r="D48" s="10"/>
      <c r="I48" s="644"/>
      <c r="K48" s="15" t="s">
        <v>96</v>
      </c>
      <c r="T48" s="818" t="str">
        <f>IF(AND($W$19=$V48,$X$19&lt;&gt;"37"),"La orgánica indicada no opera con el proyecto seleccionado","")</f>
        <v/>
      </c>
      <c r="U48" s="161">
        <v>37</v>
      </c>
      <c r="V48" s="574" t="s">
        <v>136</v>
      </c>
      <c r="W48" s="574" t="s">
        <v>137</v>
      </c>
      <c r="X48" s="574" t="s">
        <v>138</v>
      </c>
      <c r="AB48" s="711" t="s">
        <v>118</v>
      </c>
      <c r="AF48" s="1137" t="s">
        <v>128</v>
      </c>
    </row>
    <row r="49" spans="2:32" ht="13.95" customHeight="1" thickBot="1" x14ac:dyDescent="0.3">
      <c r="C49" s="661"/>
      <c r="D49" s="608"/>
      <c r="E49" s="608"/>
      <c r="F49" s="608"/>
      <c r="G49" s="608"/>
      <c r="H49" s="608"/>
      <c r="I49" s="646"/>
      <c r="K49" s="15" t="s">
        <v>139</v>
      </c>
      <c r="T49" s="818" t="str">
        <f>IF(AND($W$19=$V49,$X$19&lt;&gt;"37"),"La orgánica indicada no opera con el proyecto seleccionado","")</f>
        <v/>
      </c>
      <c r="U49" s="161">
        <v>37</v>
      </c>
      <c r="V49" s="574" t="s">
        <v>140</v>
      </c>
      <c r="W49" s="574" t="s">
        <v>141</v>
      </c>
      <c r="X49" s="574" t="s">
        <v>142</v>
      </c>
      <c r="AB49" s="711" t="s">
        <v>119</v>
      </c>
      <c r="AF49" s="1137" t="s">
        <v>133</v>
      </c>
    </row>
    <row r="50" spans="2:32" ht="13.2" customHeight="1" x14ac:dyDescent="0.25">
      <c r="C50" s="647"/>
      <c r="D50" s="1043"/>
      <c r="E50" s="1043"/>
      <c r="F50" s="1043"/>
      <c r="G50" s="1043"/>
      <c r="H50" s="1043"/>
      <c r="I50" s="648"/>
      <c r="T50" s="818" t="str">
        <f>IF(AND($W$19=$V50,$X$19&lt;&gt;"37"),"La orgánica indicada no opera con el proyecto seleccionado","")</f>
        <v/>
      </c>
      <c r="U50" s="161">
        <v>37</v>
      </c>
      <c r="V50" s="812" t="s">
        <v>143</v>
      </c>
      <c r="W50" s="711" t="s">
        <v>144</v>
      </c>
      <c r="X50" s="711" t="s">
        <v>145</v>
      </c>
      <c r="AB50" s="711" t="s">
        <v>110</v>
      </c>
      <c r="AF50" s="1133" t="s">
        <v>136</v>
      </c>
    </row>
    <row r="51" spans="2:32" ht="13.2" x14ac:dyDescent="0.25">
      <c r="B51" s="595"/>
      <c r="C51" s="675" t="s">
        <v>146</v>
      </c>
      <c r="D51" s="1047"/>
      <c r="E51" s="1047"/>
      <c r="F51" s="1047"/>
      <c r="G51" s="1043"/>
      <c r="H51" s="1043"/>
      <c r="I51" s="648"/>
      <c r="T51" s="818" t="str">
        <f>IF(AND($W$19=$V51,$X$19&lt;&gt;"30"),"La orgánica indicada no opera con el proyecto seleccionado","")</f>
        <v/>
      </c>
      <c r="U51" s="161">
        <v>30</v>
      </c>
      <c r="V51" s="574" t="s">
        <v>147</v>
      </c>
      <c r="W51" s="1121" t="s">
        <v>148</v>
      </c>
      <c r="X51" s="1121" t="s">
        <v>149</v>
      </c>
      <c r="AB51" s="711" t="s">
        <v>111</v>
      </c>
      <c r="AF51" s="1146" t="s">
        <v>140</v>
      </c>
    </row>
    <row r="52" spans="2:32" ht="13.95" customHeight="1" thickBot="1" x14ac:dyDescent="0.3">
      <c r="C52" s="647"/>
      <c r="D52" s="1043"/>
      <c r="E52" s="1043"/>
      <c r="F52" s="1043"/>
      <c r="G52" s="1043"/>
      <c r="H52" s="1043"/>
      <c r="I52" s="648"/>
      <c r="T52" s="818" t="str">
        <f>IF(AND($W$19=$V52,$X$19&lt;&gt;"37"),"La orgánica indicada no opera con el proyecto seleccionado","")</f>
        <v/>
      </c>
      <c r="U52" s="161">
        <v>37</v>
      </c>
      <c r="V52" s="1151" t="s">
        <v>48</v>
      </c>
      <c r="W52" s="714" t="s">
        <v>150</v>
      </c>
      <c r="X52" s="1123" t="s">
        <v>151</v>
      </c>
      <c r="AB52" s="712" t="s">
        <v>114</v>
      </c>
      <c r="AF52" s="574" t="s">
        <v>143</v>
      </c>
    </row>
    <row r="53" spans="2:32" ht="13.2" customHeight="1" x14ac:dyDescent="0.25">
      <c r="C53" s="650" t="s">
        <v>152</v>
      </c>
      <c r="D53" s="612"/>
      <c r="E53" s="612"/>
      <c r="F53" s="614" t="s">
        <v>153</v>
      </c>
      <c r="G53" s="1249" t="str">
        <f>IF(C54="","",IF(OR(ANEXO!A390=ANEXO!A392,ANEXO!A390=ANEXO!A393,ANEXO!A390=ANEXO!A397),"¿Dietas en Madrid o Barcelona?",IF(OR(ANEXO!A390=ANEXO!A394,ANEXO!A390=ANEXO!A396),"¿Dietas en Madrid?","")))</f>
        <v/>
      </c>
      <c r="H53" s="1249"/>
      <c r="I53" s="1196"/>
      <c r="T53" s="817" t="str">
        <f>IF(AND($W$19=$V53,$X$19&lt;&gt;"24"),"La orgánica indicada no opera con el proyecto seleccionado","")</f>
        <v/>
      </c>
      <c r="U53" s="161">
        <v>24</v>
      </c>
      <c r="V53" s="1164" t="s">
        <v>1182</v>
      </c>
      <c r="W53" s="1164" t="s">
        <v>1182</v>
      </c>
      <c r="X53" s="1121" t="s">
        <v>1182</v>
      </c>
      <c r="AB53" s="713" t="s">
        <v>115</v>
      </c>
      <c r="AF53" s="1121" t="s">
        <v>147</v>
      </c>
    </row>
    <row r="54" spans="2:32" ht="13.2" customHeight="1" x14ac:dyDescent="0.25">
      <c r="C54" s="652"/>
      <c r="F54" s="1053"/>
      <c r="G54" s="1054" t="s">
        <v>17</v>
      </c>
      <c r="H54" s="1055" t="str">
        <f>IF(AND(C54&lt;&gt;"",F54=""),"Falta indicar la hora de salida",IF(AND(C54&lt;&gt;"",C57=""),"Falta indicar la fecha de fin del viaje",IF(AND(C57&lt;&gt;"",F57=""),"Falta indicar la hora de fin del viaje",IF(AND(C64&lt;&gt;"",E64=""),"Falta indicar las noches de hotel",IF(C57&lt;C54,"Revise las fechas del viaje","")))))</f>
        <v/>
      </c>
      <c r="I54" s="1197"/>
      <c r="V54"/>
      <c r="W54"/>
      <c r="X54"/>
      <c r="AB54" s="717" t="s">
        <v>123</v>
      </c>
    </row>
    <row r="55" spans="2:32" ht="13.2" customHeight="1" x14ac:dyDescent="0.25">
      <c r="C55" s="686"/>
      <c r="H55" s="10"/>
      <c r="I55" s="1197"/>
      <c r="V55"/>
      <c r="W55"/>
      <c r="X55"/>
      <c r="AB55" s="717" t="s">
        <v>126</v>
      </c>
    </row>
    <row r="56" spans="2:32" ht="13.2" customHeight="1" x14ac:dyDescent="0.25">
      <c r="C56" s="643" t="s">
        <v>154</v>
      </c>
      <c r="F56" s="638" t="s">
        <v>153</v>
      </c>
      <c r="G56" s="595"/>
      <c r="H56" s="595" t="s">
        <v>155</v>
      </c>
      <c r="I56" s="644"/>
      <c r="V56"/>
      <c r="W56"/>
      <c r="X56"/>
      <c r="AB56" s="711" t="s">
        <v>129</v>
      </c>
    </row>
    <row r="57" spans="2:32" ht="13.2" customHeight="1" x14ac:dyDescent="0.25">
      <c r="C57" s="652"/>
      <c r="F57" s="1056"/>
      <c r="G57" s="595" t="str">
        <f>IF('LIQUIDACIÓN-GASTOS'!M12&lt;&gt;"",'LIQUIDACIÓN-GASTOS'!M12,"")</f>
        <v/>
      </c>
      <c r="H57" s="1057" t="s">
        <v>17</v>
      </c>
      <c r="I57" s="1301" t="str">
        <f>IFERROR(IF(AND('LIQUIDACIÓN-GASTOS'!AP33&gt;=1,'LIQUIDACIÓN-GASTOS'!AS33&gt;=1),"¿La actividad es una estancia en un centro I+D, campaña de muestreo, o toma de datos?",""),"")</f>
        <v/>
      </c>
      <c r="V57"/>
      <c r="W57"/>
      <c r="X57"/>
      <c r="AB57" s="711" t="s">
        <v>130</v>
      </c>
    </row>
    <row r="58" spans="2:32" ht="13.2" customHeight="1" x14ac:dyDescent="0.25">
      <c r="C58" s="662"/>
      <c r="D58" s="10"/>
      <c r="E58" s="10"/>
      <c r="F58" s="10"/>
      <c r="G58" s="1058" t="s">
        <v>17</v>
      </c>
      <c r="I58" s="1301"/>
      <c r="V58"/>
      <c r="W58"/>
      <c r="X58"/>
      <c r="AB58" s="711" t="s">
        <v>134</v>
      </c>
    </row>
    <row r="59" spans="2:32" ht="13.2" x14ac:dyDescent="0.25">
      <c r="C59" s="692" t="s">
        <v>156</v>
      </c>
      <c r="D59" s="10"/>
      <c r="E59" s="10"/>
      <c r="F59" s="1059" t="s">
        <v>157</v>
      </c>
      <c r="G59" s="10"/>
      <c r="I59" s="1301"/>
      <c r="V59"/>
      <c r="W59"/>
      <c r="X59"/>
      <c r="AB59" s="711" t="s">
        <v>135</v>
      </c>
    </row>
    <row r="60" spans="2:32" ht="13.2" customHeight="1" x14ac:dyDescent="0.25">
      <c r="C60" s="691"/>
      <c r="D60" s="10"/>
      <c r="E60" s="10"/>
      <c r="F60" s="1250"/>
      <c r="G60" s="1250"/>
      <c r="I60" s="1201" t="s">
        <v>17</v>
      </c>
      <c r="V60"/>
      <c r="W60"/>
      <c r="X60"/>
      <c r="AB60" s="711" t="s">
        <v>137</v>
      </c>
    </row>
    <row r="61" spans="2:32" ht="13.2" customHeight="1" x14ac:dyDescent="0.25">
      <c r="C61" s="662"/>
      <c r="D61" s="10"/>
      <c r="E61" s="10"/>
      <c r="F61" s="10"/>
      <c r="G61" s="10"/>
      <c r="I61" s="644"/>
      <c r="V61"/>
      <c r="W61"/>
      <c r="X61"/>
      <c r="AB61" s="711" t="s">
        <v>138</v>
      </c>
    </row>
    <row r="62" spans="2:32" ht="13.2" customHeight="1" x14ac:dyDescent="0.25">
      <c r="C62" s="643" t="s">
        <v>158</v>
      </c>
      <c r="G62" s="1048" t="s">
        <v>159</v>
      </c>
      <c r="H62" s="1049"/>
      <c r="I62" s="658"/>
      <c r="V62"/>
      <c r="W62"/>
      <c r="X62"/>
      <c r="AB62" s="711" t="s">
        <v>141</v>
      </c>
    </row>
    <row r="63" spans="2:32" ht="13.2" customHeight="1" x14ac:dyDescent="0.25">
      <c r="C63" s="643" t="s">
        <v>160</v>
      </c>
      <c r="E63" s="638" t="s">
        <v>161</v>
      </c>
      <c r="G63" s="1051" t="s">
        <v>160</v>
      </c>
      <c r="I63" s="664" t="s">
        <v>161</v>
      </c>
      <c r="V63"/>
      <c r="W63"/>
      <c r="X63"/>
      <c r="AB63" s="711" t="s">
        <v>142</v>
      </c>
    </row>
    <row r="64" spans="2:32" ht="13.95" customHeight="1" thickBot="1" x14ac:dyDescent="0.3">
      <c r="C64" s="661"/>
      <c r="D64" s="608"/>
      <c r="E64" s="615"/>
      <c r="F64" s="608"/>
      <c r="G64" s="616"/>
      <c r="H64" s="608"/>
      <c r="I64" s="665"/>
      <c r="V64"/>
      <c r="W64"/>
      <c r="X64"/>
      <c r="AB64" s="711" t="s">
        <v>144</v>
      </c>
    </row>
    <row r="65" spans="2:29" ht="13.2" customHeight="1" x14ac:dyDescent="0.25">
      <c r="C65" s="647"/>
      <c r="D65" s="1043"/>
      <c r="E65" s="1043"/>
      <c r="F65" s="1043"/>
      <c r="G65" s="1043"/>
      <c r="H65" s="1043"/>
      <c r="I65" s="648"/>
      <c r="R65" s="1145"/>
      <c r="V65"/>
      <c r="W65"/>
      <c r="X65"/>
      <c r="AB65" s="711" t="s">
        <v>145</v>
      </c>
    </row>
    <row r="66" spans="2:29" ht="13.2" x14ac:dyDescent="0.25">
      <c r="B66" s="595"/>
      <c r="C66" s="675" t="s">
        <v>162</v>
      </c>
      <c r="D66" s="1047"/>
      <c r="E66" s="1047"/>
      <c r="F66" s="1043"/>
      <c r="G66" s="1043"/>
      <c r="H66" s="1043"/>
      <c r="I66" s="648"/>
      <c r="K66"/>
      <c r="O66"/>
      <c r="P66"/>
      <c r="R66" s="1120"/>
      <c r="V66"/>
      <c r="W66"/>
      <c r="X66"/>
      <c r="AB66" s="711" t="s">
        <v>148</v>
      </c>
    </row>
    <row r="67" spans="2:29" ht="13.95" customHeight="1" thickBot="1" x14ac:dyDescent="0.3">
      <c r="C67" s="647"/>
      <c r="D67" s="1043"/>
      <c r="E67" s="1043"/>
      <c r="F67" s="1043"/>
      <c r="G67" s="1043"/>
      <c r="H67" s="1043"/>
      <c r="I67" s="648"/>
      <c r="K67"/>
      <c r="O67"/>
      <c r="P67"/>
      <c r="R67" s="1120"/>
      <c r="V67"/>
      <c r="W67"/>
      <c r="X67"/>
      <c r="AB67" s="711" t="s">
        <v>149</v>
      </c>
    </row>
    <row r="68" spans="2:29" ht="13.2" customHeight="1" x14ac:dyDescent="0.25">
      <c r="C68" s="650" t="s">
        <v>163</v>
      </c>
      <c r="D68" s="693" t="s">
        <v>164</v>
      </c>
      <c r="E68" s="612"/>
      <c r="F68" s="614" t="s">
        <v>153</v>
      </c>
      <c r="G68" s="612"/>
      <c r="H68" s="1268" t="s">
        <v>189</v>
      </c>
      <c r="I68" s="1269"/>
      <c r="K68"/>
      <c r="O68"/>
      <c r="P68"/>
      <c r="R68" s="1120"/>
      <c r="V68"/>
      <c r="W68"/>
      <c r="AB68" s="711" t="s">
        <v>166</v>
      </c>
    </row>
    <row r="69" spans="2:29" ht="13.2" x14ac:dyDescent="0.25">
      <c r="C69" s="652"/>
      <c r="D69" s="694"/>
      <c r="F69" s="1056"/>
      <c r="G69"/>
      <c r="H69" s="1298" t="str">
        <f>IFERROR(IF(AND('LIQUIDACIÓN-GASTOS'!AP53&gt;=3,'LIQUIDACIÓN-GASTOS'!AS53&gt;=1),"¿La actividad es una estancia en un centro I+D, campaña de muestreo, o toma de datos?",""),"")</f>
        <v/>
      </c>
      <c r="I69" s="1299"/>
      <c r="K69"/>
      <c r="O69"/>
      <c r="P69"/>
      <c r="R69" s="1120"/>
      <c r="AB69" s="711" t="s">
        <v>107</v>
      </c>
    </row>
    <row r="70" spans="2:29" ht="13.2" x14ac:dyDescent="0.25">
      <c r="C70" s="945"/>
      <c r="D70" s="1192"/>
      <c r="E70"/>
      <c r="F70"/>
      <c r="G70"/>
      <c r="H70" s="1300"/>
      <c r="I70" s="1301"/>
      <c r="K70"/>
      <c r="O70"/>
      <c r="P70"/>
      <c r="R70" s="1120"/>
      <c r="AB70" s="714" t="s">
        <v>150</v>
      </c>
      <c r="AC70" s="714"/>
    </row>
    <row r="71" spans="2:29" ht="13.2" x14ac:dyDescent="0.25">
      <c r="C71" s="643" t="s">
        <v>167</v>
      </c>
      <c r="D71" s="595" t="s">
        <v>168</v>
      </c>
      <c r="F71" s="638" t="s">
        <v>153</v>
      </c>
      <c r="H71" s="1062" t="s">
        <v>17</v>
      </c>
      <c r="I71" s="644"/>
      <c r="K71"/>
      <c r="O71"/>
      <c r="P71"/>
      <c r="R71" s="1120"/>
      <c r="AB71" s="161" t="s">
        <v>151</v>
      </c>
    </row>
    <row r="72" spans="2:29" ht="13.2" x14ac:dyDescent="0.25">
      <c r="C72" s="652"/>
      <c r="D72" s="691"/>
      <c r="F72" s="1056"/>
      <c r="G72" s="595" t="str">
        <f>IF(C74&lt;&gt;"","Fecha salida del extranjero","")</f>
        <v/>
      </c>
      <c r="I72" s="666"/>
      <c r="K72"/>
      <c r="O72"/>
      <c r="P72"/>
      <c r="R72" s="1120"/>
      <c r="AB72" s="1165" t="s">
        <v>1182</v>
      </c>
    </row>
    <row r="73" spans="2:29" ht="13.2" x14ac:dyDescent="0.25">
      <c r="C73" s="645" t="str">
        <f>IF('LIQUIDACIÓN-GASTOS'!M14&lt;&gt;"",'LIQUIDACIÓN-GASTOS'!M14,"")</f>
        <v/>
      </c>
      <c r="G73" s="1272" t="str">
        <f>IF(OR('LIQUIDACIÓN-GASTOS'!AF2='LIQUIDACIÓN-GASTOS'!J3,'LIQUIDACIÓN-GASTOS'!J4='LIQUIDACIÓN-GASTOS'!AF2),"",'LIQUIDACIÓN-GASTOS'!O22)</f>
        <v/>
      </c>
      <c r="H73" s="1272"/>
      <c r="I73" s="1273"/>
      <c r="K73"/>
      <c r="O73"/>
      <c r="P73"/>
      <c r="R73" s="1120"/>
    </row>
    <row r="74" spans="2:29" ht="13.2" x14ac:dyDescent="0.25">
      <c r="C74" s="667" t="str">
        <f>IF(AND('LIQUIDACIÓN-GASTOS'!AF2='LIQUIDACIÓN-GASTOS'!J1,F72&gt;'LIQUIDACIÓN-GASTOS'!C70),"Hora de salida del extranjero:","")</f>
        <v/>
      </c>
      <c r="F74" s="1061"/>
      <c r="G74" s="1272"/>
      <c r="H74" s="1272"/>
      <c r="I74" s="1273"/>
      <c r="K74"/>
      <c r="O74"/>
      <c r="P74"/>
      <c r="R74" s="1120"/>
    </row>
    <row r="75" spans="2:29" ht="13.2" x14ac:dyDescent="0.25">
      <c r="C75" s="1274" t="str">
        <f>IF('LIQUIDACIÓN-GASTOS'!M14&lt;&gt;"",'LIQUIDACIÓN-GASTOS'!M14,"")</f>
        <v/>
      </c>
      <c r="D75" s="1275"/>
      <c r="E75" s="1062" t="s">
        <v>17</v>
      </c>
      <c r="F75" s="595" t="s">
        <v>169</v>
      </c>
      <c r="I75" s="815" t="s">
        <v>17</v>
      </c>
      <c r="K75"/>
      <c r="O75"/>
      <c r="P75"/>
      <c r="R75" s="1120"/>
    </row>
    <row r="76" spans="2:29" ht="13.2" x14ac:dyDescent="0.25">
      <c r="C76" s="643" t="s">
        <v>158</v>
      </c>
      <c r="G76" s="1051" t="s">
        <v>171</v>
      </c>
      <c r="I76" s="644"/>
      <c r="K76"/>
      <c r="O76"/>
      <c r="P76"/>
      <c r="R76" s="1120"/>
    </row>
    <row r="77" spans="2:29" ht="13.2" x14ac:dyDescent="0.25">
      <c r="C77" s="643" t="s">
        <v>124</v>
      </c>
      <c r="F77" s="161" t="s">
        <v>161</v>
      </c>
      <c r="G77" s="1051" t="s">
        <v>124</v>
      </c>
      <c r="I77" s="664" t="s">
        <v>161</v>
      </c>
      <c r="K77"/>
      <c r="O77"/>
      <c r="P77"/>
      <c r="R77" s="1120"/>
    </row>
    <row r="78" spans="2:29" ht="13.8" thickBot="1" x14ac:dyDescent="0.3">
      <c r="C78" s="661"/>
      <c r="D78" s="608"/>
      <c r="E78" s="608"/>
      <c r="F78" s="615"/>
      <c r="G78" s="685"/>
      <c r="H78" s="608"/>
      <c r="I78" s="668"/>
      <c r="K78"/>
      <c r="O78"/>
      <c r="P78"/>
      <c r="R78" s="1120"/>
    </row>
    <row r="79" spans="2:29" ht="13.2" hidden="1" customHeight="1" x14ac:dyDescent="0.25">
      <c r="C79" s="945"/>
      <c r="D79"/>
      <c r="E79"/>
      <c r="F79"/>
      <c r="G79"/>
      <c r="H79"/>
      <c r="I79" s="663"/>
      <c r="K79"/>
      <c r="O79"/>
      <c r="P79"/>
      <c r="R79" s="1120"/>
    </row>
    <row r="80" spans="2:29" ht="13.2" hidden="1" customHeight="1" x14ac:dyDescent="0.25">
      <c r="B80" s="595"/>
      <c r="C80" s="945"/>
      <c r="D80"/>
      <c r="E80"/>
      <c r="F80"/>
      <c r="G80"/>
      <c r="H80"/>
      <c r="I80" s="663"/>
      <c r="K80"/>
      <c r="O80"/>
      <c r="P80"/>
      <c r="R80" s="1120"/>
    </row>
    <row r="81" spans="3:18" ht="13.2" hidden="1" customHeight="1" x14ac:dyDescent="0.25">
      <c r="C81" s="945"/>
      <c r="D81"/>
      <c r="E81"/>
      <c r="F81"/>
      <c r="G81"/>
      <c r="H81"/>
      <c r="I81" s="663"/>
      <c r="K81"/>
      <c r="O81"/>
      <c r="P81"/>
      <c r="R81" s="1120"/>
    </row>
    <row r="82" spans="3:18" ht="13.2" hidden="1" customHeight="1" x14ac:dyDescent="0.25">
      <c r="C82" s="945"/>
      <c r="D82"/>
      <c r="E82"/>
      <c r="F82"/>
      <c r="G82"/>
      <c r="H82"/>
      <c r="I82" s="663"/>
      <c r="K82"/>
      <c r="M82" s="15" t="s">
        <v>17</v>
      </c>
      <c r="O82"/>
      <c r="P82"/>
      <c r="R82" s="1120"/>
    </row>
    <row r="83" spans="3:18" ht="13.2" hidden="1" customHeight="1" x14ac:dyDescent="0.25">
      <c r="C83" s="945"/>
      <c r="D83"/>
      <c r="E83"/>
      <c r="F83"/>
      <c r="G83"/>
      <c r="H83"/>
      <c r="I83" s="663"/>
      <c r="K83"/>
      <c r="M83" s="15" t="s">
        <v>13</v>
      </c>
      <c r="O83"/>
      <c r="P83"/>
      <c r="R83" s="1120"/>
    </row>
    <row r="84" spans="3:18" ht="13.2" hidden="1" customHeight="1" x14ac:dyDescent="0.25">
      <c r="C84" s="945"/>
      <c r="D84"/>
      <c r="E84"/>
      <c r="F84"/>
      <c r="G84"/>
      <c r="H84"/>
      <c r="I84" s="663"/>
      <c r="K84"/>
      <c r="M84" s="15" t="s">
        <v>170</v>
      </c>
      <c r="O84"/>
      <c r="P84"/>
      <c r="R84" s="1120"/>
    </row>
    <row r="85" spans="3:18" ht="13.2" hidden="1" customHeight="1" x14ac:dyDescent="0.25">
      <c r="C85" s="945"/>
      <c r="D85"/>
      <c r="E85"/>
      <c r="F85"/>
      <c r="G85"/>
      <c r="H85"/>
      <c r="I85" s="663"/>
      <c r="K85"/>
      <c r="O85"/>
      <c r="P85"/>
      <c r="R85" s="1120"/>
    </row>
    <row r="86" spans="3:18" ht="13.2" hidden="1" customHeight="1" x14ac:dyDescent="0.25">
      <c r="C86" s="945"/>
      <c r="D86"/>
      <c r="E86"/>
      <c r="F86"/>
      <c r="G86"/>
      <c r="H86"/>
      <c r="I86" s="663"/>
      <c r="K86"/>
      <c r="O86"/>
      <c r="P86"/>
      <c r="R86" s="1120"/>
    </row>
    <row r="87" spans="3:18" ht="13.2" hidden="1" customHeight="1" x14ac:dyDescent="0.25">
      <c r="C87" s="945"/>
      <c r="D87"/>
      <c r="E87"/>
      <c r="F87"/>
      <c r="G87"/>
      <c r="H87"/>
      <c r="I87" s="663"/>
      <c r="K87"/>
      <c r="O87"/>
      <c r="P87"/>
      <c r="R87" s="1120"/>
    </row>
    <row r="88" spans="3:18" ht="15.75" hidden="1" customHeight="1" x14ac:dyDescent="0.25">
      <c r="C88" s="945"/>
      <c r="D88"/>
      <c r="E88"/>
      <c r="F88"/>
      <c r="G88"/>
      <c r="H88"/>
      <c r="I88" s="663"/>
      <c r="K88"/>
      <c r="O88"/>
      <c r="P88"/>
      <c r="R88" s="1120"/>
    </row>
    <row r="89" spans="3:18" ht="15.75" hidden="1" customHeight="1" x14ac:dyDescent="0.25">
      <c r="C89" s="945"/>
      <c r="D89"/>
      <c r="E89"/>
      <c r="F89"/>
      <c r="G89"/>
      <c r="H89"/>
      <c r="I89" s="663"/>
      <c r="K89"/>
      <c r="M89" s="596"/>
      <c r="O89"/>
      <c r="P89"/>
      <c r="R89" s="1120"/>
    </row>
    <row r="90" spans="3:18" ht="13.2" hidden="1" customHeight="1" x14ac:dyDescent="0.25">
      <c r="C90" s="945"/>
      <c r="D90"/>
      <c r="E90"/>
      <c r="F90"/>
      <c r="G90"/>
      <c r="H90"/>
      <c r="I90" s="663"/>
      <c r="K90"/>
      <c r="M90" s="606"/>
      <c r="O90"/>
      <c r="P90"/>
      <c r="R90" s="1120"/>
    </row>
    <row r="91" spans="3:18" ht="13.2" hidden="1" customHeight="1" x14ac:dyDescent="0.25">
      <c r="C91" s="945"/>
      <c r="D91"/>
      <c r="E91"/>
      <c r="F91"/>
      <c r="G91"/>
      <c r="H91"/>
      <c r="I91" s="663"/>
      <c r="K91"/>
      <c r="M91"/>
      <c r="O91"/>
      <c r="P91"/>
      <c r="R91" s="1120"/>
    </row>
    <row r="92" spans="3:18" ht="13.2" hidden="1" customHeight="1" x14ac:dyDescent="0.25">
      <c r="C92" s="945"/>
      <c r="D92"/>
      <c r="E92"/>
      <c r="F92"/>
      <c r="G92"/>
      <c r="H92"/>
      <c r="I92" s="663"/>
      <c r="K92"/>
      <c r="O92"/>
      <c r="P92"/>
      <c r="R92" s="1120"/>
    </row>
    <row r="93" spans="3:18" ht="13.2" hidden="1" customHeight="1" x14ac:dyDescent="0.25">
      <c r="C93" s="945"/>
      <c r="D93"/>
      <c r="E93"/>
      <c r="F93"/>
      <c r="G93"/>
      <c r="H93"/>
      <c r="I93" s="663"/>
      <c r="K93"/>
      <c r="O93"/>
      <c r="P93"/>
      <c r="R93" s="1120"/>
    </row>
    <row r="94" spans="3:18" ht="13.2" hidden="1" customHeight="1" x14ac:dyDescent="0.25">
      <c r="C94" s="945"/>
      <c r="D94"/>
      <c r="E94"/>
      <c r="F94"/>
      <c r="G94"/>
      <c r="H94"/>
      <c r="I94" s="663"/>
      <c r="K94"/>
      <c r="O94"/>
      <c r="P94"/>
      <c r="R94" s="1120"/>
    </row>
    <row r="95" spans="3:18" ht="13.2" hidden="1" customHeight="1" x14ac:dyDescent="0.25">
      <c r="C95" s="945"/>
      <c r="D95"/>
      <c r="E95"/>
      <c r="F95"/>
      <c r="G95"/>
      <c r="H95"/>
      <c r="I95" s="663"/>
      <c r="K95"/>
      <c r="O95"/>
      <c r="P95"/>
      <c r="R95" s="1120"/>
    </row>
    <row r="96" spans="3:18" ht="13.2" hidden="1" customHeight="1" x14ac:dyDescent="0.25">
      <c r="C96" s="945"/>
      <c r="D96"/>
      <c r="E96"/>
      <c r="F96"/>
      <c r="G96"/>
      <c r="H96"/>
      <c r="I96" s="663"/>
      <c r="K96"/>
      <c r="O96"/>
      <c r="P96"/>
      <c r="R96" s="1120"/>
    </row>
    <row r="97" spans="2:18" ht="13.2" hidden="1" customHeight="1" x14ac:dyDescent="0.25">
      <c r="C97" s="945"/>
      <c r="D97"/>
      <c r="E97"/>
      <c r="F97"/>
      <c r="G97"/>
      <c r="H97"/>
      <c r="I97" s="663"/>
      <c r="K97"/>
      <c r="O97"/>
      <c r="P97"/>
      <c r="R97" s="1120"/>
    </row>
    <row r="98" spans="2:18" ht="13.2" hidden="1" customHeight="1" x14ac:dyDescent="0.25">
      <c r="B98" s="595"/>
      <c r="C98" s="945"/>
      <c r="D98"/>
      <c r="E98"/>
      <c r="F98"/>
      <c r="G98"/>
      <c r="H98"/>
      <c r="I98" s="663"/>
      <c r="K98"/>
      <c r="O98"/>
      <c r="P98"/>
      <c r="R98" s="1120"/>
    </row>
    <row r="99" spans="2:18" ht="13.2" hidden="1" customHeight="1" x14ac:dyDescent="0.25">
      <c r="C99" s="945"/>
      <c r="D99"/>
      <c r="E99"/>
      <c r="F99"/>
      <c r="G99"/>
      <c r="H99"/>
      <c r="I99" s="663"/>
      <c r="K99"/>
      <c r="O99"/>
      <c r="P99"/>
      <c r="R99" s="1120"/>
    </row>
    <row r="100" spans="2:18" ht="13.2" hidden="1" customHeight="1" x14ac:dyDescent="0.25">
      <c r="C100" s="945"/>
      <c r="D100"/>
      <c r="E100"/>
      <c r="F100"/>
      <c r="G100"/>
      <c r="H100"/>
      <c r="I100" s="663"/>
      <c r="K100"/>
      <c r="O100"/>
      <c r="P100"/>
      <c r="R100" s="1120"/>
    </row>
    <row r="101" spans="2:18" ht="13.2" hidden="1" customHeight="1" x14ac:dyDescent="0.25">
      <c r="C101" s="945"/>
      <c r="D101"/>
      <c r="E101"/>
      <c r="F101"/>
      <c r="G101"/>
      <c r="H101"/>
      <c r="I101" s="663"/>
      <c r="K101"/>
      <c r="O101"/>
      <c r="P101"/>
      <c r="R101" s="1120"/>
    </row>
    <row r="102" spans="2:18" ht="13.2" hidden="1" customHeight="1" x14ac:dyDescent="0.25">
      <c r="C102" s="945"/>
      <c r="D102"/>
      <c r="E102"/>
      <c r="F102"/>
      <c r="G102"/>
      <c r="H102"/>
      <c r="I102" s="663"/>
      <c r="K102"/>
      <c r="O102"/>
      <c r="P102"/>
      <c r="R102" s="1120"/>
    </row>
    <row r="103" spans="2:18" ht="13.2" hidden="1" customHeight="1" x14ac:dyDescent="0.25">
      <c r="C103" s="945"/>
      <c r="D103"/>
      <c r="E103"/>
      <c r="F103"/>
      <c r="G103"/>
      <c r="H103"/>
      <c r="I103" s="663"/>
      <c r="K103"/>
      <c r="O103"/>
      <c r="P103"/>
      <c r="R103" s="1120"/>
    </row>
    <row r="104" spans="2:18" ht="13.2" hidden="1" customHeight="1" x14ac:dyDescent="0.25">
      <c r="C104" s="945"/>
      <c r="D104"/>
      <c r="E104"/>
      <c r="F104"/>
      <c r="G104"/>
      <c r="H104"/>
      <c r="I104" s="663"/>
      <c r="K104"/>
      <c r="O104"/>
      <c r="P104"/>
      <c r="R104" s="1120"/>
    </row>
    <row r="105" spans="2:18" ht="13.2" hidden="1" customHeight="1" x14ac:dyDescent="0.25">
      <c r="C105" s="945"/>
      <c r="D105"/>
      <c r="E105"/>
      <c r="F105"/>
      <c r="G105"/>
      <c r="H105"/>
      <c r="I105" s="663"/>
      <c r="K105"/>
      <c r="O105"/>
      <c r="P105"/>
      <c r="R105" s="1120"/>
    </row>
    <row r="106" spans="2:18" ht="13.2" x14ac:dyDescent="0.25">
      <c r="C106" s="1063"/>
      <c r="D106" s="941"/>
      <c r="E106" s="941"/>
      <c r="F106" s="941"/>
      <c r="G106" s="941"/>
      <c r="H106" s="941"/>
      <c r="I106" s="1064"/>
      <c r="K106"/>
      <c r="O106"/>
      <c r="P106"/>
      <c r="R106" s="1120"/>
    </row>
    <row r="107" spans="2:18" ht="13.2" x14ac:dyDescent="0.25">
      <c r="B107" s="595"/>
      <c r="C107" s="1065" t="s">
        <v>172</v>
      </c>
      <c r="D107" s="942"/>
      <c r="E107" s="943"/>
      <c r="F107" s="943"/>
      <c r="G107" s="944"/>
      <c r="H107" s="944"/>
      <c r="I107" s="1066"/>
      <c r="K107"/>
      <c r="O107"/>
      <c r="P107"/>
      <c r="R107" s="1120"/>
    </row>
    <row r="108" spans="2:18" ht="13.2" x14ac:dyDescent="0.25">
      <c r="C108" s="645"/>
      <c r="I108" s="644"/>
      <c r="K108"/>
      <c r="O108"/>
      <c r="P108"/>
      <c r="R108" s="1120"/>
    </row>
    <row r="109" spans="2:18" ht="13.2" x14ac:dyDescent="0.25">
      <c r="C109" s="1257" t="s">
        <v>173</v>
      </c>
      <c r="D109" s="1258"/>
      <c r="E109" s="1258"/>
      <c r="F109" s="1258"/>
      <c r="G109" s="1258"/>
      <c r="H109" s="1258"/>
      <c r="I109" s="1259"/>
      <c r="K109"/>
      <c r="O109"/>
      <c r="P109"/>
      <c r="R109" s="1120"/>
    </row>
    <row r="110" spans="2:18" ht="13.2" x14ac:dyDescent="0.25">
      <c r="C110" s="1260"/>
      <c r="D110" s="1261"/>
      <c r="E110" s="1261"/>
      <c r="F110" s="1261"/>
      <c r="G110" s="1261"/>
      <c r="H110" s="1261"/>
      <c r="I110" s="1262"/>
      <c r="K110"/>
      <c r="O110"/>
      <c r="P110"/>
      <c r="R110" s="1120"/>
    </row>
    <row r="111" spans="2:18" ht="13.2" x14ac:dyDescent="0.25">
      <c r="C111" s="645"/>
      <c r="I111" s="644"/>
      <c r="K111"/>
      <c r="O111"/>
      <c r="P111"/>
      <c r="R111" s="1120"/>
    </row>
    <row r="112" spans="2:18" ht="13.2" x14ac:dyDescent="0.25">
      <c r="C112" s="643" t="s">
        <v>152</v>
      </c>
      <c r="F112" s="638" t="s">
        <v>153</v>
      </c>
      <c r="G112" s="1263" t="str">
        <f>IF(C113="","",IF(OR(ANEXO!A390=ANEXO!A392,ANEXO!A390=ANEXO!A393,ANEXO!A390=ANEXO!A397),"¿Dietas en Madrid o Barcelona?",IF(OR(ANEXO!A390=ANEXO!A394,ANEXO!A390=ANEXO!A396),"¿Dietas en Madrid?","")))</f>
        <v/>
      </c>
      <c r="H112" s="1263"/>
      <c r="I112" s="644"/>
      <c r="K112"/>
      <c r="O112"/>
      <c r="P112"/>
      <c r="R112" s="1120"/>
    </row>
    <row r="113" spans="2:18" ht="13.2" x14ac:dyDescent="0.25">
      <c r="C113" s="652"/>
      <c r="F113" s="1060"/>
      <c r="G113" s="1067" t="s">
        <v>17</v>
      </c>
      <c r="H113" s="10" t="str">
        <f>IF(AND(C113&lt;&gt;"",F113=""),"Falta indicar la hora de inicio del viaje",IF(AND(C113&lt;&gt;"",C116=""),"Falta indicar la fecha de fin del viaje",IF(AND(C116&lt;&gt;"",F116=""),"Falta indicar la hora de fin del viaje",IF(AND(C119="",C113&lt;&gt;""),"falta indicar la fecha de inicio de la actividad",IF(AND(C113&lt;&gt;"",F119=""),"Falta indicar la fecha de fin de la actividad",IF(AND(C123&lt;&gt;"",E123=""),"Falta indicar las noches de hotel",IF(C116&lt;C113,"Revise las fechas del viaje","")))))))</f>
        <v/>
      </c>
      <c r="I113" s="644"/>
      <c r="K113"/>
      <c r="O113"/>
      <c r="P113"/>
      <c r="R113" s="1120"/>
    </row>
    <row r="114" spans="2:18" ht="13.2" x14ac:dyDescent="0.25">
      <c r="C114" s="662"/>
      <c r="I114" s="644"/>
      <c r="K114"/>
      <c r="O114"/>
      <c r="P114"/>
      <c r="R114" s="1120"/>
    </row>
    <row r="115" spans="2:18" ht="13.2" x14ac:dyDescent="0.25">
      <c r="C115" s="643" t="s">
        <v>154</v>
      </c>
      <c r="F115" s="638" t="s">
        <v>153</v>
      </c>
      <c r="H115" s="10"/>
      <c r="I115" s="644"/>
      <c r="K115"/>
      <c r="O115"/>
      <c r="P115"/>
      <c r="R115" s="1120"/>
    </row>
    <row r="116" spans="2:18" ht="13.2" x14ac:dyDescent="0.25">
      <c r="C116" s="652"/>
      <c r="F116" s="1060"/>
      <c r="G116" s="1068"/>
      <c r="H116" s="1266" t="str">
        <f>IF('LIQUIDACIÓN-GASTOS'!M13&lt;&gt;"",'LIQUIDACIÓN-GASTOS'!M13,"")</f>
        <v/>
      </c>
      <c r="I116" s="1267"/>
      <c r="K116"/>
      <c r="O116"/>
      <c r="P116"/>
      <c r="R116" s="1120"/>
    </row>
    <row r="117" spans="2:18" ht="13.2" x14ac:dyDescent="0.25">
      <c r="C117" s="645"/>
      <c r="I117" s="1027" t="s">
        <v>17</v>
      </c>
      <c r="K117"/>
      <c r="O117"/>
      <c r="P117"/>
      <c r="R117" s="1120"/>
    </row>
    <row r="118" spans="2:18" ht="13.2" x14ac:dyDescent="0.25">
      <c r="C118" s="667" t="s">
        <v>174</v>
      </c>
      <c r="F118" s="595" t="s">
        <v>157</v>
      </c>
      <c r="I118" s="644"/>
      <c r="K118"/>
      <c r="O118"/>
      <c r="P118"/>
      <c r="R118" s="1120"/>
    </row>
    <row r="119" spans="2:18" ht="13.2" x14ac:dyDescent="0.25">
      <c r="C119" s="652"/>
      <c r="F119" s="1069"/>
      <c r="I119" s="644"/>
      <c r="K119"/>
      <c r="O119"/>
      <c r="P119"/>
      <c r="R119" s="1120"/>
    </row>
    <row r="120" spans="2:18" ht="13.2" x14ac:dyDescent="0.25">
      <c r="C120" s="1264" t="s">
        <v>155</v>
      </c>
      <c r="D120" s="1265"/>
      <c r="E120" s="1070" t="s">
        <v>17</v>
      </c>
      <c r="I120" s="644"/>
      <c r="K120"/>
      <c r="O120"/>
      <c r="P120"/>
      <c r="R120" s="1120"/>
    </row>
    <row r="121" spans="2:18" ht="13.2" x14ac:dyDescent="0.25">
      <c r="C121" s="643" t="s">
        <v>158</v>
      </c>
      <c r="G121" s="1048" t="s">
        <v>175</v>
      </c>
      <c r="H121" s="1049"/>
      <c r="I121" s="658"/>
      <c r="K121"/>
      <c r="O121"/>
      <c r="P121"/>
      <c r="R121" s="1120"/>
    </row>
    <row r="122" spans="2:18" ht="13.2" x14ac:dyDescent="0.25">
      <c r="C122" s="643" t="s">
        <v>160</v>
      </c>
      <c r="E122" s="638" t="s">
        <v>161</v>
      </c>
      <c r="G122" s="1051" t="s">
        <v>160</v>
      </c>
      <c r="I122" s="664" t="s">
        <v>161</v>
      </c>
      <c r="K122"/>
      <c r="O122"/>
      <c r="P122"/>
      <c r="R122" s="1120"/>
    </row>
    <row r="123" spans="2:18" ht="13.2" x14ac:dyDescent="0.25">
      <c r="C123" s="660"/>
      <c r="E123" s="1071"/>
      <c r="G123" s="1052"/>
      <c r="I123" s="670"/>
      <c r="K123"/>
      <c r="O123"/>
      <c r="P123"/>
      <c r="R123" s="1120"/>
    </row>
    <row r="124" spans="2:18" ht="13.2" x14ac:dyDescent="0.25">
      <c r="C124" s="645"/>
      <c r="I124" s="644"/>
      <c r="K124"/>
      <c r="O124"/>
      <c r="P124"/>
      <c r="R124" s="1120"/>
    </row>
    <row r="125" spans="2:18" ht="13.8" thickBot="1" x14ac:dyDescent="0.3">
      <c r="B125" s="595"/>
      <c r="C125" s="671"/>
      <c r="D125" s="608"/>
      <c r="E125" s="608"/>
      <c r="F125" s="608"/>
      <c r="G125" s="608"/>
      <c r="H125" s="608"/>
      <c r="I125" s="646"/>
      <c r="K125"/>
      <c r="O125"/>
      <c r="P125"/>
      <c r="R125" s="1120"/>
    </row>
    <row r="126" spans="2:18" ht="13.2" hidden="1" customHeight="1" x14ac:dyDescent="0.25">
      <c r="C126" s="945"/>
      <c r="D126"/>
      <c r="E126"/>
      <c r="F126"/>
      <c r="G126"/>
      <c r="H126"/>
      <c r="I126" s="663"/>
      <c r="K126"/>
      <c r="O126"/>
      <c r="P126"/>
      <c r="R126" s="1120" t="s">
        <v>176</v>
      </c>
    </row>
    <row r="127" spans="2:18" ht="13.2" hidden="1" customHeight="1" x14ac:dyDescent="0.25">
      <c r="C127" s="945"/>
      <c r="D127"/>
      <c r="E127"/>
      <c r="F127"/>
      <c r="G127"/>
      <c r="H127"/>
      <c r="I127" s="663"/>
      <c r="K127"/>
      <c r="O127"/>
      <c r="P127"/>
      <c r="R127" s="1120" t="s">
        <v>177</v>
      </c>
    </row>
    <row r="128" spans="2:18" ht="13.2" hidden="1" x14ac:dyDescent="0.25">
      <c r="C128" s="945"/>
      <c r="D128"/>
      <c r="E128"/>
      <c r="F128"/>
      <c r="G128"/>
      <c r="H128"/>
      <c r="I128" s="663"/>
      <c r="K128"/>
      <c r="O128"/>
      <c r="P128"/>
    </row>
    <row r="129" spans="2:16" ht="13.2" hidden="1" customHeight="1" x14ac:dyDescent="0.25">
      <c r="C129" s="945"/>
      <c r="D129"/>
      <c r="E129"/>
      <c r="F129"/>
      <c r="G129"/>
      <c r="H129"/>
      <c r="I129" s="663"/>
      <c r="K129"/>
      <c r="O129"/>
      <c r="P129"/>
    </row>
    <row r="130" spans="2:16" ht="13.2" hidden="1" x14ac:dyDescent="0.25">
      <c r="C130" s="945"/>
      <c r="D130"/>
      <c r="E130"/>
      <c r="F130"/>
      <c r="G130"/>
      <c r="H130"/>
      <c r="I130" s="663"/>
      <c r="K130"/>
      <c r="O130"/>
      <c r="P130"/>
    </row>
    <row r="131" spans="2:16" ht="13.2" hidden="1" x14ac:dyDescent="0.25">
      <c r="C131" s="945"/>
      <c r="D131"/>
      <c r="E131"/>
      <c r="F131"/>
      <c r="G131"/>
      <c r="H131"/>
      <c r="I131" s="663"/>
      <c r="K131"/>
      <c r="O131"/>
      <c r="P131"/>
    </row>
    <row r="132" spans="2:16" ht="13.2" hidden="1" x14ac:dyDescent="0.25">
      <c r="C132" s="945"/>
      <c r="D132"/>
      <c r="E132"/>
      <c r="F132"/>
      <c r="G132"/>
      <c r="H132"/>
      <c r="I132" s="663"/>
      <c r="K132"/>
      <c r="O132"/>
      <c r="P132"/>
    </row>
    <row r="133" spans="2:16" ht="13.2" hidden="1" x14ac:dyDescent="0.25">
      <c r="C133" s="945"/>
      <c r="D133"/>
      <c r="E133"/>
      <c r="F133"/>
      <c r="G133"/>
      <c r="H133"/>
      <c r="I133" s="663"/>
      <c r="K133"/>
      <c r="O133"/>
      <c r="P133"/>
    </row>
    <row r="134" spans="2:16" ht="13.2" hidden="1" x14ac:dyDescent="0.25">
      <c r="C134" s="945"/>
      <c r="D134"/>
      <c r="E134"/>
      <c r="F134"/>
      <c r="G134"/>
      <c r="H134"/>
      <c r="I134" s="663"/>
      <c r="K134"/>
      <c r="O134"/>
      <c r="P134"/>
    </row>
    <row r="135" spans="2:16" ht="15" x14ac:dyDescent="0.25">
      <c r="C135" s="1063"/>
      <c r="D135" s="941"/>
      <c r="E135" s="941"/>
      <c r="F135" s="941"/>
      <c r="G135" s="941"/>
      <c r="H135" s="941"/>
      <c r="I135" s="1064"/>
      <c r="K135" s="106" t="s">
        <v>178</v>
      </c>
      <c r="O135"/>
      <c r="P135"/>
    </row>
    <row r="136" spans="2:16" ht="13.2" x14ac:dyDescent="0.25">
      <c r="B136" s="595"/>
      <c r="C136" s="1065" t="s">
        <v>179</v>
      </c>
      <c r="D136" s="944"/>
      <c r="E136" s="944"/>
      <c r="F136" s="944"/>
      <c r="G136" s="944"/>
      <c r="H136" s="944"/>
      <c r="I136" s="1066"/>
      <c r="K136" s="1152" t="s">
        <v>180</v>
      </c>
      <c r="O136"/>
      <c r="P136"/>
    </row>
    <row r="137" spans="2:16" ht="13.2" x14ac:dyDescent="0.25">
      <c r="C137" s="645"/>
      <c r="I137" s="644"/>
      <c r="K137" s="1152" t="s">
        <v>181</v>
      </c>
      <c r="O137"/>
      <c r="P137"/>
    </row>
    <row r="138" spans="2:16" ht="13.2" x14ac:dyDescent="0.25">
      <c r="C138" s="1251" t="s">
        <v>182</v>
      </c>
      <c r="D138" s="1252"/>
      <c r="E138" s="1252"/>
      <c r="F138" s="1252"/>
      <c r="G138" s="1252"/>
      <c r="H138" s="1252"/>
      <c r="I138" s="1253"/>
      <c r="K138" s="1152" t="s">
        <v>183</v>
      </c>
      <c r="O138"/>
      <c r="P138"/>
    </row>
    <row r="139" spans="2:16" ht="13.2" x14ac:dyDescent="0.25">
      <c r="C139" s="1254"/>
      <c r="D139" s="1255"/>
      <c r="E139" s="1255"/>
      <c r="F139" s="1255"/>
      <c r="G139" s="1255"/>
      <c r="H139" s="1255"/>
      <c r="I139" s="1256"/>
      <c r="K139" s="1152" t="s">
        <v>184</v>
      </c>
      <c r="O139"/>
      <c r="P139"/>
    </row>
    <row r="140" spans="2:16" ht="13.2" x14ac:dyDescent="0.25">
      <c r="C140" s="645"/>
      <c r="I140" s="644"/>
      <c r="K140" s="1152" t="s">
        <v>185</v>
      </c>
      <c r="O140"/>
      <c r="P140"/>
    </row>
    <row r="141" spans="2:16" ht="13.2" x14ac:dyDescent="0.25">
      <c r="C141" s="1072" t="s">
        <v>186</v>
      </c>
      <c r="D141" s="946"/>
      <c r="E141" s="947"/>
      <c r="F141" s="947"/>
      <c r="G141" s="947"/>
      <c r="H141" s="947"/>
      <c r="I141" s="1073"/>
      <c r="K141" s="1152" t="s">
        <v>187</v>
      </c>
      <c r="O141"/>
      <c r="P141"/>
    </row>
    <row r="142" spans="2:16" ht="13.2" x14ac:dyDescent="0.25">
      <c r="C142" s="945"/>
      <c r="D142"/>
      <c r="E142"/>
      <c r="F142"/>
      <c r="G142"/>
      <c r="H142"/>
      <c r="I142" s="663"/>
      <c r="K142" s="1152" t="s">
        <v>188</v>
      </c>
      <c r="O142"/>
      <c r="P142"/>
    </row>
    <row r="143" spans="2:16" ht="13.2" x14ac:dyDescent="0.25">
      <c r="C143" s="667" t="s">
        <v>174</v>
      </c>
      <c r="F143" s="595" t="s">
        <v>157</v>
      </c>
      <c r="H143" s="1270" t="s">
        <v>189</v>
      </c>
      <c r="I143" s="1271"/>
      <c r="K143" s="1152" t="s">
        <v>190</v>
      </c>
      <c r="O143"/>
      <c r="P143"/>
    </row>
    <row r="144" spans="2:16" ht="13.2" x14ac:dyDescent="0.25">
      <c r="C144" s="652"/>
      <c r="F144" s="607"/>
      <c r="H144" s="1302" t="str">
        <f>IFERROR(IF(AND('LIQUIDACIÓN-GASTOS'!AP64&gt;=3,'LIQUIDACIÓN-GASTOS'!AS64&gt;=1),"¿La actividad es una estancia en un centro I+D, campaña de muestreo, o toma de datos?",""),"")</f>
        <v/>
      </c>
      <c r="I144" s="1303"/>
      <c r="K144" s="1152" t="s">
        <v>191</v>
      </c>
      <c r="O144"/>
      <c r="P144"/>
    </row>
    <row r="145" spans="3:16" ht="13.2" x14ac:dyDescent="0.25">
      <c r="C145" s="687"/>
      <c r="D145"/>
      <c r="E145"/>
      <c r="F145"/>
      <c r="G145"/>
      <c r="H145" s="1304"/>
      <c r="I145" s="1305"/>
      <c r="K145" s="1152" t="s">
        <v>192</v>
      </c>
      <c r="O145"/>
      <c r="P145"/>
    </row>
    <row r="146" spans="3:16" ht="13.2" x14ac:dyDescent="0.25">
      <c r="C146" s="643" t="s">
        <v>163</v>
      </c>
      <c r="F146" s="638" t="s">
        <v>153</v>
      </c>
      <c r="G146"/>
      <c r="H146" s="1202" t="s">
        <v>17</v>
      </c>
      <c r="I146" s="663"/>
      <c r="K146" s="1152" t="s">
        <v>193</v>
      </c>
      <c r="O146"/>
      <c r="P146"/>
    </row>
    <row r="147" spans="3:16" ht="13.2" x14ac:dyDescent="0.25">
      <c r="C147" s="652"/>
      <c r="F147" s="1060"/>
      <c r="I147" s="644"/>
      <c r="K147" s="1152" t="s">
        <v>194</v>
      </c>
      <c r="O147"/>
      <c r="P147"/>
    </row>
    <row r="148" spans="3:16" ht="13.2" x14ac:dyDescent="0.25">
      <c r="C148" s="645"/>
      <c r="G148"/>
      <c r="H148"/>
      <c r="I148" s="663"/>
      <c r="K148" s="1152" t="s">
        <v>195</v>
      </c>
      <c r="O148"/>
      <c r="P148"/>
    </row>
    <row r="149" spans="3:16" ht="13.2" x14ac:dyDescent="0.25">
      <c r="C149" s="643" t="s">
        <v>167</v>
      </c>
      <c r="F149" s="638" t="s">
        <v>153</v>
      </c>
      <c r="G149"/>
      <c r="H149"/>
      <c r="I149" s="663"/>
      <c r="K149" s="1152" t="s">
        <v>196</v>
      </c>
      <c r="O149"/>
      <c r="P149"/>
    </row>
    <row r="150" spans="3:16" ht="13.2" x14ac:dyDescent="0.25">
      <c r="C150" s="652"/>
      <c r="F150" s="1060"/>
      <c r="G150" s="595" t="str">
        <f>IF(C152&lt;&gt;"","Fecha salida del extranjero","")</f>
        <v/>
      </c>
      <c r="H150"/>
      <c r="I150" s="672"/>
      <c r="K150" s="1152" t="s">
        <v>197</v>
      </c>
      <c r="O150"/>
      <c r="P150"/>
    </row>
    <row r="151" spans="3:16" ht="13.2" x14ac:dyDescent="0.25">
      <c r="C151" s="1274" t="str">
        <f>IF('LIQUIDACIÓN-GASTOS'!M15&lt;&gt;"",'LIQUIDACIÓN-GASTOS'!M15,"")</f>
        <v/>
      </c>
      <c r="D151" s="1275"/>
      <c r="F151" s="1074" t="s">
        <v>17</v>
      </c>
      <c r="G151" s="1247" t="str">
        <f>IF(OR('LIQUIDACIÓN-GASTOS'!J3='LIQUIDACIÓN-GASTOS'!AF2,'LIQUIDACIÓN-GASTOS'!AF2='LIQUIDACIÓN-GASTOS'!J4),"",'LIQUIDACIÓN-GASTOS'!O23)</f>
        <v/>
      </c>
      <c r="H151" s="1247"/>
      <c r="I151" s="1248"/>
      <c r="K151" s="1152" t="s">
        <v>198</v>
      </c>
      <c r="O151"/>
      <c r="P151"/>
    </row>
    <row r="152" spans="3:16" ht="13.2" x14ac:dyDescent="0.25">
      <c r="C152" s="667" t="str">
        <f>IF(AND(F150&gt;'LIQUIDACIÓN-GASTOS'!L82,'LIQUIDACIÓN-GASTOS'!J1='LIQUIDACIÓN-GASTOS'!AF2),"Hora de salida del extranjero","")</f>
        <v/>
      </c>
      <c r="F152" s="1061"/>
      <c r="G152" s="1247"/>
      <c r="H152" s="1247"/>
      <c r="I152" s="1248"/>
      <c r="K152" s="1152" t="s">
        <v>199</v>
      </c>
      <c r="O152"/>
      <c r="P152"/>
    </row>
    <row r="153" spans="3:16" ht="13.2" x14ac:dyDescent="0.25">
      <c r="C153" s="667" t="s">
        <v>169</v>
      </c>
      <c r="F153" s="1075" t="s">
        <v>17</v>
      </c>
      <c r="G153"/>
      <c r="H153"/>
      <c r="I153" s="663"/>
      <c r="K153" s="1152" t="s">
        <v>200</v>
      </c>
      <c r="O153"/>
      <c r="P153"/>
    </row>
    <row r="154" spans="3:16" ht="13.2" x14ac:dyDescent="0.25">
      <c r="C154" s="643" t="s">
        <v>158</v>
      </c>
      <c r="G154" s="1048" t="s">
        <v>159</v>
      </c>
      <c r="H154" s="1049"/>
      <c r="I154" s="658"/>
      <c r="K154" s="1152" t="s">
        <v>201</v>
      </c>
      <c r="O154"/>
      <c r="P154"/>
    </row>
    <row r="155" spans="3:16" ht="13.2" x14ac:dyDescent="0.25">
      <c r="C155" s="643" t="s">
        <v>124</v>
      </c>
      <c r="F155" s="161" t="s">
        <v>161</v>
      </c>
      <c r="G155" s="1076" t="s">
        <v>160</v>
      </c>
      <c r="I155" s="664" t="s">
        <v>161</v>
      </c>
      <c r="K155" s="1152" t="s">
        <v>202</v>
      </c>
      <c r="O155"/>
      <c r="P155"/>
    </row>
    <row r="156" spans="3:16" ht="13.2" x14ac:dyDescent="0.25">
      <c r="C156" s="660"/>
      <c r="F156" s="1071"/>
      <c r="G156" s="1052"/>
      <c r="I156" s="670"/>
      <c r="K156" s="1152" t="s">
        <v>203</v>
      </c>
      <c r="O156"/>
      <c r="P156"/>
    </row>
    <row r="157" spans="3:16" ht="13.8" thickBot="1" x14ac:dyDescent="0.3">
      <c r="C157" s="673"/>
      <c r="D157" s="608"/>
      <c r="E157" s="608"/>
      <c r="F157" s="608"/>
      <c r="G157" s="608"/>
      <c r="H157" s="608"/>
      <c r="I157" s="646"/>
      <c r="K157" s="1152" t="s">
        <v>204</v>
      </c>
      <c r="O157"/>
      <c r="P157"/>
    </row>
    <row r="158" spans="3:16" ht="13.8" thickBot="1" x14ac:dyDescent="0.3">
      <c r="C158" s="675" t="s">
        <v>205</v>
      </c>
      <c r="D158" s="1047"/>
      <c r="E158" s="1043"/>
      <c r="F158" s="1043"/>
      <c r="G158" s="1043"/>
      <c r="H158" s="1043"/>
      <c r="I158" s="648"/>
      <c r="K158" s="1152" t="s">
        <v>206</v>
      </c>
      <c r="O158"/>
      <c r="P158"/>
    </row>
    <row r="159" spans="3:16" ht="13.2" x14ac:dyDescent="0.25">
      <c r="C159" s="669"/>
      <c r="D159" s="612"/>
      <c r="E159" s="612"/>
      <c r="F159" s="612"/>
      <c r="G159" s="612"/>
      <c r="H159" s="612"/>
      <c r="I159" s="651"/>
      <c r="K159" s="1152" t="s">
        <v>207</v>
      </c>
      <c r="O159"/>
      <c r="P159"/>
    </row>
    <row r="160" spans="3:16" ht="13.2" x14ac:dyDescent="0.25">
      <c r="C160" s="667" t="s">
        <v>174</v>
      </c>
      <c r="F160" s="595" t="s">
        <v>157</v>
      </c>
      <c r="H160" s="1270" t="s">
        <v>189</v>
      </c>
      <c r="I160" s="1271"/>
      <c r="J160" s="1035">
        <v>0.625</v>
      </c>
      <c r="K160" s="1152" t="s">
        <v>208</v>
      </c>
      <c r="O160"/>
      <c r="P160"/>
    </row>
    <row r="161" spans="3:16" ht="13.2" x14ac:dyDescent="0.25">
      <c r="C161" s="652"/>
      <c r="F161" s="1069"/>
      <c r="H161" s="1276" t="str">
        <f>IFERROR(IF(AND('LIQUIDACIÓN-GASTOS'!AP74&gt;=3,'LIQUIDACIÓN-GASTOS'!AS74&gt;=1),"¿La actvidad es una estancia en un centro I+D, campaña de muestreo, o toma de datos?",""),"")</f>
        <v/>
      </c>
      <c r="I161" s="1277"/>
      <c r="K161" s="1152" t="s">
        <v>209</v>
      </c>
      <c r="O161"/>
      <c r="P161"/>
    </row>
    <row r="162" spans="3:16" ht="13.2" x14ac:dyDescent="0.25">
      <c r="C162" s="662"/>
      <c r="D162"/>
      <c r="E162"/>
      <c r="F162"/>
      <c r="G162"/>
      <c r="H162" s="1278"/>
      <c r="I162" s="1279"/>
      <c r="K162" s="1152" t="s">
        <v>210</v>
      </c>
      <c r="O162"/>
      <c r="P162"/>
    </row>
    <row r="163" spans="3:16" ht="13.2" x14ac:dyDescent="0.25">
      <c r="C163" s="643" t="s">
        <v>163</v>
      </c>
      <c r="F163" s="638" t="s">
        <v>153</v>
      </c>
      <c r="G163"/>
      <c r="H163" s="1203" t="s">
        <v>17</v>
      </c>
      <c r="I163" s="663"/>
      <c r="K163" s="1152" t="s">
        <v>211</v>
      </c>
      <c r="O163"/>
      <c r="P163"/>
    </row>
    <row r="164" spans="3:16" ht="13.2" x14ac:dyDescent="0.25">
      <c r="C164" s="652"/>
      <c r="F164" s="1060"/>
      <c r="I164" s="644"/>
      <c r="K164" s="1152" t="s">
        <v>212</v>
      </c>
      <c r="O164"/>
      <c r="P164"/>
    </row>
    <row r="165" spans="3:16" ht="13.2" x14ac:dyDescent="0.25">
      <c r="C165" s="667" t="s">
        <v>169</v>
      </c>
      <c r="F165" s="1070" t="s">
        <v>17</v>
      </c>
      <c r="G165"/>
      <c r="H165"/>
      <c r="I165" s="663"/>
      <c r="J165" s="10"/>
      <c r="K165" s="1152" t="s">
        <v>213</v>
      </c>
      <c r="O165"/>
      <c r="P165"/>
    </row>
    <row r="166" spans="3:16" ht="13.2" x14ac:dyDescent="0.25">
      <c r="C166" s="643" t="s">
        <v>167</v>
      </c>
      <c r="F166" s="638" t="s">
        <v>153</v>
      </c>
      <c r="G166"/>
      <c r="H166"/>
      <c r="I166" s="663"/>
      <c r="K166" s="1152" t="s">
        <v>214</v>
      </c>
      <c r="L166"/>
      <c r="O166"/>
      <c r="P166"/>
    </row>
    <row r="167" spans="3:16" ht="13.2" x14ac:dyDescent="0.25">
      <c r="C167" s="652"/>
      <c r="F167" s="1060"/>
      <c r="G167" s="1068" t="str">
        <f>IF(C169&lt;&gt;"","Fecha salida del extranjero","")</f>
        <v/>
      </c>
      <c r="H167"/>
      <c r="I167" s="674"/>
      <c r="K167" s="1152" t="s">
        <v>215</v>
      </c>
      <c r="L167"/>
      <c r="O167"/>
      <c r="P167"/>
    </row>
    <row r="168" spans="3:16" ht="13.2" customHeight="1" x14ac:dyDescent="0.25">
      <c r="C168" s="645"/>
      <c r="G168" s="1247" t="str">
        <f>IF(OR('LIQUIDACIÓN-GASTOS'!AF2='LIQUIDACIÓN-GASTOS'!J4,'LIQUIDACIÓN-GASTOS'!AF2='LIQUIDACIÓN-GASTOS'!J3),"",'LIQUIDACIÓN-GASTOS'!O24)</f>
        <v/>
      </c>
      <c r="H168" s="1247"/>
      <c r="I168" s="1248"/>
      <c r="K168" s="1152" t="s">
        <v>216</v>
      </c>
      <c r="L168"/>
      <c r="O168"/>
      <c r="P168"/>
    </row>
    <row r="169" spans="3:16" ht="13.2" customHeight="1" x14ac:dyDescent="0.25">
      <c r="C169" s="667" t="str">
        <f>IF(AND('LIQUIDACIÓN-GASTOS'!AF2='LIQUIDACIÓN-GASTOS'!J1,'LIQUIDACIÓN-GASTOS'!L86&gt;'LIQUIDACIÓN-GASTOS'!L94,'LIQUIDACIÓN-GASTOS'!L86&lt;'LIQUIDACIÓN-GASTOS'!M96),"Hora de salida del extranjero","")</f>
        <v/>
      </c>
      <c r="F169" s="1077"/>
      <c r="G169" s="1247"/>
      <c r="H169" s="1247"/>
      <c r="I169" s="1248"/>
      <c r="K169" s="1152" t="s">
        <v>217</v>
      </c>
      <c r="L169"/>
      <c r="O169"/>
      <c r="P169"/>
    </row>
    <row r="170" spans="3:16" ht="13.2" x14ac:dyDescent="0.25">
      <c r="C170" s="1274" t="str">
        <f>IF('LIQUIDACIÓN-GASTOS'!M16&lt;&gt;"",'LIQUIDACIÓN-GASTOS'!M16,"")</f>
        <v/>
      </c>
      <c r="D170" s="1275"/>
      <c r="F170" s="1078" t="s">
        <v>17</v>
      </c>
      <c r="G170"/>
      <c r="H170"/>
      <c r="I170" s="663"/>
      <c r="K170" s="1152" t="s">
        <v>218</v>
      </c>
      <c r="L170"/>
      <c r="O170"/>
      <c r="P170"/>
    </row>
    <row r="171" spans="3:16" ht="13.2" x14ac:dyDescent="0.25">
      <c r="C171" s="643" t="s">
        <v>158</v>
      </c>
      <c r="G171" s="1048" t="s">
        <v>159</v>
      </c>
      <c r="H171" s="1049"/>
      <c r="I171" s="658"/>
      <c r="K171" s="1152" t="s">
        <v>219</v>
      </c>
      <c r="L171"/>
      <c r="O171"/>
      <c r="P171"/>
    </row>
    <row r="172" spans="3:16" ht="13.2" x14ac:dyDescent="0.25">
      <c r="C172" s="643" t="s">
        <v>124</v>
      </c>
      <c r="F172" s="161" t="s">
        <v>161</v>
      </c>
      <c r="G172" s="1079" t="s">
        <v>160</v>
      </c>
      <c r="I172" s="664" t="s">
        <v>161</v>
      </c>
      <c r="K172" s="1152" t="s">
        <v>220</v>
      </c>
      <c r="L172"/>
      <c r="O172"/>
      <c r="P172"/>
    </row>
    <row r="173" spans="3:16" ht="13.2" x14ac:dyDescent="0.25">
      <c r="C173" s="660"/>
      <c r="F173" s="1071"/>
      <c r="G173" s="1052"/>
      <c r="I173" s="670"/>
      <c r="K173" s="1152" t="s">
        <v>221</v>
      </c>
      <c r="L173"/>
      <c r="O173"/>
      <c r="P173"/>
    </row>
    <row r="174" spans="3:16" ht="13.8" thickBot="1" x14ac:dyDescent="0.3">
      <c r="C174" s="1080"/>
      <c r="D174" s="1081"/>
      <c r="E174" s="1081"/>
      <c r="F174" s="1081"/>
      <c r="G174" s="1081"/>
      <c r="H174" s="1081"/>
      <c r="I174" s="1082"/>
      <c r="K174" s="1152" t="s">
        <v>222</v>
      </c>
      <c r="L174"/>
      <c r="O174"/>
      <c r="P174"/>
    </row>
    <row r="175" spans="3:16" ht="13.8" thickTop="1" x14ac:dyDescent="0.25">
      <c r="C175"/>
      <c r="D175"/>
      <c r="E175"/>
      <c r="F175"/>
      <c r="G175"/>
      <c r="H175"/>
      <c r="I175"/>
      <c r="K175" s="1152" t="s">
        <v>223</v>
      </c>
      <c r="L175"/>
      <c r="O175"/>
      <c r="P175"/>
    </row>
    <row r="176" spans="3:16" ht="13.2" x14ac:dyDescent="0.25">
      <c r="C176"/>
      <c r="D176"/>
      <c r="E176"/>
      <c r="F176"/>
      <c r="G176"/>
      <c r="H176"/>
      <c r="I176"/>
      <c r="K176" s="1152" t="s">
        <v>224</v>
      </c>
      <c r="L176"/>
      <c r="O176"/>
      <c r="P176"/>
    </row>
    <row r="177" spans="3:16" ht="13.2" x14ac:dyDescent="0.25">
      <c r="C177"/>
      <c r="D177"/>
      <c r="E177"/>
      <c r="F177"/>
      <c r="G177"/>
      <c r="H177"/>
      <c r="I177"/>
      <c r="K177" s="1152" t="s">
        <v>225</v>
      </c>
      <c r="L177"/>
      <c r="O177"/>
      <c r="P177"/>
    </row>
    <row r="178" spans="3:16" ht="13.2" x14ac:dyDescent="0.25">
      <c r="C178"/>
      <c r="D178"/>
      <c r="E178"/>
      <c r="F178"/>
      <c r="G178"/>
      <c r="H178"/>
      <c r="I178"/>
      <c r="K178" s="1152" t="s">
        <v>226</v>
      </c>
      <c r="L178"/>
      <c r="O178"/>
      <c r="P178"/>
    </row>
    <row r="179" spans="3:16" ht="13.2" x14ac:dyDescent="0.25">
      <c r="C179"/>
      <c r="D179"/>
      <c r="E179"/>
      <c r="F179"/>
      <c r="G179"/>
      <c r="H179"/>
      <c r="I179"/>
      <c r="K179" s="1152" t="s">
        <v>227</v>
      </c>
      <c r="L179"/>
      <c r="O179"/>
      <c r="P179"/>
    </row>
    <row r="180" spans="3:16" ht="13.2" x14ac:dyDescent="0.25">
      <c r="C180"/>
      <c r="D180"/>
      <c r="E180"/>
      <c r="F180"/>
      <c r="G180"/>
      <c r="H180"/>
      <c r="I180"/>
      <c r="K180" s="1152" t="s">
        <v>228</v>
      </c>
      <c r="L180"/>
      <c r="O180"/>
      <c r="P180"/>
    </row>
    <row r="181" spans="3:16" ht="13.2" x14ac:dyDescent="0.25">
      <c r="C181"/>
      <c r="D181"/>
      <c r="E181"/>
      <c r="F181"/>
      <c r="G181"/>
      <c r="H181"/>
      <c r="I181"/>
      <c r="K181" s="1152" t="s">
        <v>229</v>
      </c>
      <c r="L181"/>
      <c r="O181"/>
      <c r="P181"/>
    </row>
    <row r="182" spans="3:16" ht="13.2" x14ac:dyDescent="0.25">
      <c r="C182"/>
      <c r="D182"/>
      <c r="E182"/>
      <c r="F182"/>
      <c r="G182"/>
      <c r="H182"/>
      <c r="I182"/>
      <c r="K182" s="1153" t="s">
        <v>230</v>
      </c>
      <c r="L182"/>
      <c r="O182"/>
      <c r="P182"/>
    </row>
    <row r="183" spans="3:16" ht="13.2" x14ac:dyDescent="0.25">
      <c r="C183"/>
      <c r="D183"/>
      <c r="E183"/>
      <c r="F183"/>
      <c r="G183"/>
      <c r="H183"/>
      <c r="I183"/>
      <c r="K183" s="1152" t="s">
        <v>231</v>
      </c>
      <c r="L183"/>
      <c r="O183"/>
      <c r="P183"/>
    </row>
    <row r="184" spans="3:16" ht="13.2" x14ac:dyDescent="0.25">
      <c r="C184"/>
      <c r="D184"/>
      <c r="E184"/>
      <c r="F184"/>
      <c r="G184"/>
      <c r="H184"/>
      <c r="I184"/>
      <c r="K184" s="1152" t="s">
        <v>232</v>
      </c>
      <c r="L184"/>
      <c r="O184"/>
      <c r="P184"/>
    </row>
    <row r="185" spans="3:16" ht="13.2" x14ac:dyDescent="0.25">
      <c r="C185"/>
      <c r="D185"/>
      <c r="E185"/>
      <c r="F185"/>
      <c r="G185"/>
      <c r="H185"/>
      <c r="I185"/>
      <c r="K185" s="1152" t="s">
        <v>233</v>
      </c>
      <c r="L185"/>
      <c r="O185"/>
      <c r="P185"/>
    </row>
    <row r="186" spans="3:16" ht="13.2" x14ac:dyDescent="0.25">
      <c r="C186"/>
      <c r="D186"/>
      <c r="E186"/>
      <c r="F186"/>
      <c r="G186"/>
      <c r="H186"/>
      <c r="I186"/>
      <c r="K186" s="1152" t="s">
        <v>234</v>
      </c>
      <c r="L186"/>
      <c r="O186"/>
      <c r="P186"/>
    </row>
    <row r="187" spans="3:16" ht="13.2" x14ac:dyDescent="0.25">
      <c r="K187" s="1152" t="s">
        <v>235</v>
      </c>
      <c r="L187"/>
      <c r="O187"/>
      <c r="P187"/>
    </row>
    <row r="188" spans="3:16" ht="13.2" x14ac:dyDescent="0.25">
      <c r="K188" s="1152" t="s">
        <v>236</v>
      </c>
      <c r="L188"/>
      <c r="O188"/>
      <c r="P188"/>
    </row>
    <row r="189" spans="3:16" ht="13.2" x14ac:dyDescent="0.25">
      <c r="K189" s="1152" t="s">
        <v>237</v>
      </c>
      <c r="L189"/>
      <c r="O189"/>
      <c r="P189"/>
    </row>
    <row r="190" spans="3:16" ht="13.2" x14ac:dyDescent="0.25">
      <c r="K190" s="1152" t="s">
        <v>238</v>
      </c>
      <c r="L190"/>
      <c r="O190"/>
      <c r="P190"/>
    </row>
    <row r="191" spans="3:16" ht="13.2" x14ac:dyDescent="0.25">
      <c r="K191" s="1152" t="s">
        <v>239</v>
      </c>
      <c r="L191"/>
      <c r="O191"/>
      <c r="P191"/>
    </row>
    <row r="192" spans="3:16" ht="13.2" x14ac:dyDescent="0.25">
      <c r="K192" s="1152" t="s">
        <v>240</v>
      </c>
      <c r="L192"/>
      <c r="O192"/>
      <c r="P192"/>
    </row>
    <row r="193" spans="11:16" ht="13.2" x14ac:dyDescent="0.25">
      <c r="K193" s="1152" t="s">
        <v>241</v>
      </c>
      <c r="L193"/>
      <c r="O193"/>
      <c r="P193"/>
    </row>
    <row r="194" spans="11:16" ht="13.2" x14ac:dyDescent="0.25">
      <c r="K194" s="1152" t="s">
        <v>242</v>
      </c>
      <c r="L194"/>
      <c r="O194"/>
      <c r="P194"/>
    </row>
    <row r="195" spans="11:16" ht="13.2" x14ac:dyDescent="0.25">
      <c r="K195" s="1152" t="s">
        <v>243</v>
      </c>
      <c r="L195"/>
      <c r="O195"/>
      <c r="P195"/>
    </row>
    <row r="196" spans="11:16" ht="13.2" x14ac:dyDescent="0.25">
      <c r="K196" s="1152" t="s">
        <v>244</v>
      </c>
      <c r="L196"/>
      <c r="O196"/>
      <c r="P196"/>
    </row>
    <row r="197" spans="11:16" ht="13.2" x14ac:dyDescent="0.25">
      <c r="K197" s="1152" t="s">
        <v>245</v>
      </c>
      <c r="L197"/>
      <c r="O197"/>
      <c r="P197"/>
    </row>
    <row r="198" spans="11:16" ht="13.2" x14ac:dyDescent="0.25">
      <c r="K198" s="1152" t="s">
        <v>246</v>
      </c>
      <c r="L198"/>
      <c r="O198"/>
      <c r="P198"/>
    </row>
    <row r="199" spans="11:16" ht="13.2" x14ac:dyDescent="0.25">
      <c r="K199" s="1152" t="s">
        <v>468</v>
      </c>
      <c r="L199"/>
      <c r="O199"/>
      <c r="P199"/>
    </row>
    <row r="200" spans="11:16" ht="13.2" x14ac:dyDescent="0.25">
      <c r="K200" s="1152" t="s">
        <v>247</v>
      </c>
      <c r="L200"/>
      <c r="O200"/>
      <c r="P200"/>
    </row>
    <row r="201" spans="11:16" ht="13.2" x14ac:dyDescent="0.25">
      <c r="K201" s="1152" t="s">
        <v>248</v>
      </c>
      <c r="L201"/>
      <c r="O201"/>
      <c r="P201"/>
    </row>
    <row r="202" spans="11:16" ht="13.2" x14ac:dyDescent="0.25">
      <c r="K202" s="1152" t="s">
        <v>249</v>
      </c>
      <c r="L202"/>
      <c r="O202"/>
      <c r="P202"/>
    </row>
    <row r="203" spans="11:16" ht="13.2" x14ac:dyDescent="0.25">
      <c r="K203" s="1152" t="s">
        <v>250</v>
      </c>
      <c r="L203"/>
      <c r="O203"/>
      <c r="P203"/>
    </row>
    <row r="204" spans="11:16" ht="13.2" x14ac:dyDescent="0.25">
      <c r="K204" s="1152" t="s">
        <v>251</v>
      </c>
      <c r="L204"/>
      <c r="O204"/>
      <c r="P204"/>
    </row>
    <row r="205" spans="11:16" ht="13.2" x14ac:dyDescent="0.25">
      <c r="K205" s="1152" t="s">
        <v>252</v>
      </c>
      <c r="L205"/>
      <c r="O205"/>
      <c r="P205"/>
    </row>
    <row r="206" spans="11:16" ht="13.2" x14ac:dyDescent="0.25">
      <c r="K206" s="1152" t="s">
        <v>253</v>
      </c>
      <c r="L206"/>
      <c r="O206"/>
      <c r="P206"/>
    </row>
    <row r="207" spans="11:16" ht="13.2" x14ac:dyDescent="0.25">
      <c r="K207" s="1152" t="s">
        <v>254</v>
      </c>
      <c r="L207"/>
      <c r="O207"/>
      <c r="P207"/>
    </row>
    <row r="208" spans="11:16" ht="13.2" x14ac:dyDescent="0.25">
      <c r="K208" s="1152" t="s">
        <v>255</v>
      </c>
      <c r="L208"/>
      <c r="O208"/>
      <c r="P208"/>
    </row>
    <row r="209" spans="11:16" ht="13.2" x14ac:dyDescent="0.25">
      <c r="K209" s="1152" t="s">
        <v>256</v>
      </c>
      <c r="L209"/>
      <c r="O209"/>
      <c r="P209"/>
    </row>
    <row r="210" spans="11:16" ht="13.2" x14ac:dyDescent="0.25">
      <c r="K210" s="1152" t="s">
        <v>257</v>
      </c>
      <c r="L210"/>
      <c r="O210"/>
      <c r="P210"/>
    </row>
    <row r="211" spans="11:16" ht="13.2" x14ac:dyDescent="0.25">
      <c r="K211" s="1152" t="s">
        <v>258</v>
      </c>
      <c r="L211"/>
      <c r="O211"/>
      <c r="P211"/>
    </row>
    <row r="212" spans="11:16" ht="13.2" x14ac:dyDescent="0.25">
      <c r="K212" s="1152" t="s">
        <v>259</v>
      </c>
      <c r="L212"/>
      <c r="O212"/>
      <c r="P212"/>
    </row>
    <row r="213" spans="11:16" ht="13.2" x14ac:dyDescent="0.25">
      <c r="K213" s="1152" t="s">
        <v>260</v>
      </c>
      <c r="L213"/>
      <c r="O213"/>
      <c r="P213"/>
    </row>
    <row r="214" spans="11:16" ht="13.2" x14ac:dyDescent="0.25">
      <c r="K214" s="1152" t="s">
        <v>261</v>
      </c>
      <c r="L214"/>
      <c r="O214"/>
      <c r="P214"/>
    </row>
    <row r="215" spans="11:16" ht="13.2" x14ac:dyDescent="0.25">
      <c r="K215" s="1152" t="s">
        <v>177</v>
      </c>
      <c r="L215"/>
      <c r="O215"/>
      <c r="P215"/>
    </row>
    <row r="216" spans="11:16" ht="13.2" x14ac:dyDescent="0.25">
      <c r="K216" s="1152" t="s">
        <v>262</v>
      </c>
      <c r="L216"/>
      <c r="O216"/>
      <c r="P216"/>
    </row>
    <row r="217" spans="11:16" ht="13.2" x14ac:dyDescent="0.25">
      <c r="K217" s="1152" t="s">
        <v>263</v>
      </c>
      <c r="L217"/>
      <c r="O217"/>
      <c r="P217"/>
    </row>
    <row r="218" spans="11:16" ht="13.2" x14ac:dyDescent="0.25">
      <c r="K218" s="1152" t="s">
        <v>264</v>
      </c>
      <c r="L218"/>
      <c r="O218"/>
      <c r="P218"/>
    </row>
    <row r="219" spans="11:16" ht="13.2" x14ac:dyDescent="0.25">
      <c r="K219" s="1152" t="s">
        <v>487</v>
      </c>
      <c r="L219"/>
      <c r="O219"/>
      <c r="P219"/>
    </row>
    <row r="220" spans="11:16" ht="13.2" x14ac:dyDescent="0.25">
      <c r="K220" s="1152" t="s">
        <v>265</v>
      </c>
      <c r="L220"/>
      <c r="O220"/>
      <c r="P220"/>
    </row>
    <row r="221" spans="11:16" ht="13.2" x14ac:dyDescent="0.25">
      <c r="K221" s="1152" t="s">
        <v>266</v>
      </c>
      <c r="L221"/>
      <c r="O221"/>
      <c r="P221"/>
    </row>
    <row r="222" spans="11:16" ht="13.2" x14ac:dyDescent="0.25">
      <c r="K222" s="1152" t="s">
        <v>267</v>
      </c>
      <c r="L222"/>
      <c r="O222"/>
      <c r="P222"/>
    </row>
    <row r="223" spans="11:16" ht="13.2" x14ac:dyDescent="0.25">
      <c r="K223" s="1152" t="s">
        <v>268</v>
      </c>
      <c r="L223"/>
      <c r="O223"/>
      <c r="P223"/>
    </row>
    <row r="224" spans="11:16" ht="13.2" x14ac:dyDescent="0.25">
      <c r="K224" s="1152" t="s">
        <v>269</v>
      </c>
      <c r="L224"/>
      <c r="O224"/>
      <c r="P224"/>
    </row>
    <row r="225" spans="11:16" ht="13.2" x14ac:dyDescent="0.25">
      <c r="K225" s="1152" t="s">
        <v>270</v>
      </c>
      <c r="L225"/>
      <c r="O225"/>
      <c r="P225"/>
    </row>
    <row r="226" spans="11:16" ht="13.2" x14ac:dyDescent="0.25">
      <c r="K226" s="1152" t="s">
        <v>271</v>
      </c>
      <c r="L226"/>
      <c r="O226"/>
      <c r="P226"/>
    </row>
    <row r="227" spans="11:16" ht="13.2" x14ac:dyDescent="0.25">
      <c r="K227" s="1152" t="s">
        <v>272</v>
      </c>
      <c r="L227"/>
      <c r="O227"/>
      <c r="P227"/>
    </row>
    <row r="228" spans="11:16" ht="13.2" x14ac:dyDescent="0.25">
      <c r="K228" s="1152" t="s">
        <v>273</v>
      </c>
      <c r="L228"/>
      <c r="O228"/>
      <c r="P228"/>
    </row>
    <row r="229" spans="11:16" ht="13.2" x14ac:dyDescent="0.25">
      <c r="K229" s="1152" t="s">
        <v>274</v>
      </c>
      <c r="L229"/>
      <c r="O229"/>
      <c r="P229"/>
    </row>
    <row r="230" spans="11:16" ht="13.2" x14ac:dyDescent="0.25">
      <c r="K230" s="1152" t="s">
        <v>275</v>
      </c>
      <c r="L230"/>
      <c r="O230"/>
      <c r="P230"/>
    </row>
    <row r="231" spans="11:16" ht="13.2" x14ac:dyDescent="0.25">
      <c r="K231" s="1152" t="s">
        <v>276</v>
      </c>
      <c r="L231"/>
      <c r="O231"/>
      <c r="P231"/>
    </row>
    <row r="232" spans="11:16" ht="13.2" x14ac:dyDescent="0.25">
      <c r="K232" s="1152" t="s">
        <v>277</v>
      </c>
      <c r="L232"/>
      <c r="O232"/>
      <c r="P232"/>
    </row>
    <row r="233" spans="11:16" ht="13.2" x14ac:dyDescent="0.25">
      <c r="K233" s="1152" t="s">
        <v>278</v>
      </c>
      <c r="L233"/>
      <c r="O233"/>
      <c r="P233"/>
    </row>
    <row r="234" spans="11:16" ht="13.2" x14ac:dyDescent="0.25">
      <c r="K234" s="1152" t="s">
        <v>176</v>
      </c>
      <c r="L234"/>
      <c r="O234"/>
      <c r="P234"/>
    </row>
    <row r="235" spans="11:16" ht="13.2" x14ac:dyDescent="0.25">
      <c r="K235"/>
      <c r="L235"/>
      <c r="O235"/>
      <c r="P235"/>
    </row>
    <row r="236" spans="11:16" ht="13.2" x14ac:dyDescent="0.25">
      <c r="K236"/>
      <c r="L236"/>
      <c r="O236"/>
      <c r="P236"/>
    </row>
    <row r="237" spans="11:16" ht="13.2" x14ac:dyDescent="0.25">
      <c r="K237"/>
      <c r="L237"/>
      <c r="O237"/>
      <c r="P237"/>
    </row>
    <row r="238" spans="11:16" ht="13.2" x14ac:dyDescent="0.25">
      <c r="K238"/>
      <c r="L238"/>
      <c r="O238"/>
      <c r="P238"/>
    </row>
    <row r="239" spans="11:16" ht="13.2" x14ac:dyDescent="0.25">
      <c r="K239"/>
      <c r="L239"/>
      <c r="O239"/>
      <c r="P239"/>
    </row>
    <row r="240" spans="11:16" ht="13.2" x14ac:dyDescent="0.25">
      <c r="K240"/>
      <c r="L240"/>
      <c r="O240"/>
      <c r="P240"/>
    </row>
    <row r="241" spans="11:18" ht="13.2" x14ac:dyDescent="0.25">
      <c r="K241"/>
      <c r="L241"/>
      <c r="O241"/>
      <c r="P241"/>
    </row>
    <row r="242" spans="11:18" ht="13.2" x14ac:dyDescent="0.25">
      <c r="K242"/>
      <c r="L242"/>
      <c r="O242"/>
      <c r="P242"/>
    </row>
    <row r="243" spans="11:18" ht="13.2" x14ac:dyDescent="0.25">
      <c r="K243"/>
      <c r="L243"/>
      <c r="O243"/>
      <c r="P243"/>
    </row>
    <row r="244" spans="11:18" ht="13.2" x14ac:dyDescent="0.25">
      <c r="K244"/>
      <c r="L244"/>
      <c r="O244"/>
      <c r="P244"/>
    </row>
    <row r="245" spans="11:18" ht="13.2" x14ac:dyDescent="0.25">
      <c r="K245"/>
      <c r="L245"/>
      <c r="R245" s="1119" t="s">
        <v>189</v>
      </c>
    </row>
    <row r="246" spans="11:18" ht="13.2" x14ac:dyDescent="0.25">
      <c r="K246"/>
      <c r="L246"/>
      <c r="M246"/>
      <c r="R246" s="1120" t="s">
        <v>180</v>
      </c>
    </row>
    <row r="247" spans="11:18" ht="13.2" x14ac:dyDescent="0.25">
      <c r="K247"/>
      <c r="L247"/>
      <c r="M247"/>
      <c r="R247" s="1120" t="s">
        <v>181</v>
      </c>
    </row>
    <row r="248" spans="11:18" ht="13.2" x14ac:dyDescent="0.25">
      <c r="K248"/>
      <c r="L248"/>
      <c r="M248"/>
      <c r="R248" s="1120" t="s">
        <v>183</v>
      </c>
    </row>
    <row r="249" spans="11:18" ht="13.2" x14ac:dyDescent="0.25">
      <c r="K249"/>
      <c r="L249"/>
      <c r="M249"/>
      <c r="R249" s="1120" t="s">
        <v>184</v>
      </c>
    </row>
    <row r="250" spans="11:18" ht="13.2" x14ac:dyDescent="0.25">
      <c r="K250"/>
      <c r="L250"/>
      <c r="M250"/>
      <c r="R250" s="1120" t="s">
        <v>185</v>
      </c>
    </row>
    <row r="251" spans="11:18" ht="13.2" x14ac:dyDescent="0.25">
      <c r="K251"/>
      <c r="L251"/>
      <c r="M251"/>
      <c r="R251" s="1120" t="s">
        <v>187</v>
      </c>
    </row>
    <row r="252" spans="11:18" ht="13.2" x14ac:dyDescent="0.25">
      <c r="K252"/>
      <c r="L252"/>
      <c r="M252"/>
      <c r="R252" s="1120" t="s">
        <v>188</v>
      </c>
    </row>
    <row r="253" spans="11:18" ht="13.2" x14ac:dyDescent="0.25">
      <c r="K253"/>
      <c r="L253"/>
      <c r="M253"/>
      <c r="R253" s="1120" t="s">
        <v>190</v>
      </c>
    </row>
    <row r="254" spans="11:18" ht="13.2" x14ac:dyDescent="0.25">
      <c r="K254"/>
      <c r="L254"/>
      <c r="M254"/>
      <c r="R254" s="1120" t="s">
        <v>191</v>
      </c>
    </row>
    <row r="255" spans="11:18" ht="13.2" x14ac:dyDescent="0.25">
      <c r="K255"/>
      <c r="L255"/>
      <c r="M255"/>
      <c r="R255" s="1120" t="s">
        <v>192</v>
      </c>
    </row>
    <row r="256" spans="11:18" ht="13.2" x14ac:dyDescent="0.25">
      <c r="K256"/>
      <c r="L256"/>
      <c r="M256"/>
      <c r="R256" s="1120" t="s">
        <v>193</v>
      </c>
    </row>
    <row r="257" spans="11:18" ht="13.2" x14ac:dyDescent="0.25">
      <c r="K257"/>
      <c r="L257"/>
      <c r="M257"/>
      <c r="R257" s="1120" t="s">
        <v>194</v>
      </c>
    </row>
    <row r="258" spans="11:18" ht="13.2" x14ac:dyDescent="0.25">
      <c r="K258"/>
      <c r="L258"/>
      <c r="M258"/>
      <c r="R258" s="1120" t="s">
        <v>223</v>
      </c>
    </row>
    <row r="259" spans="11:18" ht="13.2" x14ac:dyDescent="0.25">
      <c r="K259"/>
      <c r="L259"/>
      <c r="M259"/>
      <c r="R259" s="1120" t="s">
        <v>224</v>
      </c>
    </row>
    <row r="260" spans="11:18" ht="13.2" x14ac:dyDescent="0.25">
      <c r="K260"/>
      <c r="L260"/>
      <c r="M260"/>
      <c r="R260" s="1120" t="s">
        <v>225</v>
      </c>
    </row>
    <row r="261" spans="11:18" ht="13.2" x14ac:dyDescent="0.25">
      <c r="K261"/>
      <c r="L261"/>
      <c r="M261"/>
      <c r="R261" s="1120" t="s">
        <v>226</v>
      </c>
    </row>
    <row r="262" spans="11:18" ht="13.2" x14ac:dyDescent="0.25">
      <c r="K262"/>
      <c r="L262"/>
      <c r="M262"/>
      <c r="R262" s="1120" t="s">
        <v>227</v>
      </c>
    </row>
    <row r="263" spans="11:18" ht="13.2" x14ac:dyDescent="0.25">
      <c r="K263"/>
      <c r="L263"/>
      <c r="M263"/>
      <c r="R263" s="1120" t="s">
        <v>228</v>
      </c>
    </row>
    <row r="264" spans="11:18" ht="13.2" x14ac:dyDescent="0.25">
      <c r="K264"/>
      <c r="L264"/>
      <c r="M264"/>
      <c r="R264" s="1120" t="s">
        <v>229</v>
      </c>
    </row>
    <row r="265" spans="11:18" ht="13.2" x14ac:dyDescent="0.25">
      <c r="K265"/>
      <c r="L265"/>
      <c r="M265"/>
      <c r="R265" s="1120" t="s">
        <v>230</v>
      </c>
    </row>
    <row r="266" spans="11:18" ht="13.2" x14ac:dyDescent="0.25">
      <c r="K266"/>
      <c r="L266"/>
      <c r="M266"/>
      <c r="R266" s="1120" t="s">
        <v>231</v>
      </c>
    </row>
    <row r="267" spans="11:18" ht="13.2" x14ac:dyDescent="0.25">
      <c r="K267"/>
      <c r="L267"/>
      <c r="M267"/>
      <c r="R267" s="1120" t="s">
        <v>232</v>
      </c>
    </row>
    <row r="268" spans="11:18" ht="13.2" x14ac:dyDescent="0.25">
      <c r="K268"/>
      <c r="L268"/>
      <c r="M268"/>
      <c r="R268" s="1120" t="s">
        <v>233</v>
      </c>
    </row>
    <row r="269" spans="11:18" ht="13.2" x14ac:dyDescent="0.25">
      <c r="K269"/>
      <c r="L269"/>
      <c r="M269"/>
      <c r="R269" s="1120" t="s">
        <v>234</v>
      </c>
    </row>
    <row r="270" spans="11:18" ht="13.2" x14ac:dyDescent="0.25">
      <c r="K270"/>
      <c r="L270"/>
      <c r="M270"/>
      <c r="R270" s="1120" t="s">
        <v>235</v>
      </c>
    </row>
    <row r="271" spans="11:18" ht="13.2" x14ac:dyDescent="0.25">
      <c r="K271"/>
      <c r="L271"/>
      <c r="M271"/>
      <c r="R271" s="1120" t="s">
        <v>236</v>
      </c>
    </row>
    <row r="272" spans="11:18" ht="13.2" x14ac:dyDescent="0.25">
      <c r="K272"/>
      <c r="L272"/>
      <c r="M272"/>
      <c r="R272" s="1120" t="s">
        <v>237</v>
      </c>
    </row>
    <row r="273" spans="11:18" ht="13.2" x14ac:dyDescent="0.25">
      <c r="K273"/>
      <c r="L273"/>
      <c r="M273"/>
      <c r="R273" s="1120" t="s">
        <v>238</v>
      </c>
    </row>
    <row r="274" spans="11:18" ht="13.2" x14ac:dyDescent="0.25">
      <c r="K274"/>
      <c r="L274"/>
      <c r="M274"/>
      <c r="R274" s="1120" t="s">
        <v>239</v>
      </c>
    </row>
    <row r="275" spans="11:18" ht="13.2" x14ac:dyDescent="0.25">
      <c r="K275"/>
      <c r="L275"/>
      <c r="M275"/>
      <c r="R275" s="1120" t="s">
        <v>240</v>
      </c>
    </row>
    <row r="276" spans="11:18" ht="13.2" x14ac:dyDescent="0.25">
      <c r="K276"/>
      <c r="L276"/>
      <c r="M276"/>
      <c r="R276" s="1120" t="s">
        <v>241</v>
      </c>
    </row>
    <row r="277" spans="11:18" ht="13.2" x14ac:dyDescent="0.25">
      <c r="K277"/>
      <c r="L277"/>
      <c r="M277"/>
      <c r="R277" s="1120" t="s">
        <v>242</v>
      </c>
    </row>
    <row r="278" spans="11:18" ht="13.2" x14ac:dyDescent="0.25">
      <c r="K278"/>
      <c r="L278"/>
      <c r="M278"/>
      <c r="R278" s="1120" t="s">
        <v>252</v>
      </c>
    </row>
    <row r="279" spans="11:18" ht="13.2" x14ac:dyDescent="0.25">
      <c r="K279"/>
      <c r="L279"/>
      <c r="M279"/>
      <c r="R279" s="1120" t="s">
        <v>253</v>
      </c>
    </row>
    <row r="280" spans="11:18" ht="13.2" x14ac:dyDescent="0.25">
      <c r="K280"/>
      <c r="L280"/>
      <c r="M280"/>
      <c r="R280" s="1120" t="s">
        <v>254</v>
      </c>
    </row>
    <row r="281" spans="11:18" ht="13.2" x14ac:dyDescent="0.25">
      <c r="K281"/>
      <c r="L281"/>
      <c r="M281"/>
      <c r="R281" s="1120" t="s">
        <v>255</v>
      </c>
    </row>
    <row r="282" spans="11:18" ht="13.2" x14ac:dyDescent="0.25">
      <c r="K282"/>
      <c r="L282"/>
      <c r="M282"/>
      <c r="R282" s="1120" t="s">
        <v>256</v>
      </c>
    </row>
    <row r="283" spans="11:18" ht="13.2" x14ac:dyDescent="0.25">
      <c r="K283"/>
      <c r="L283"/>
      <c r="M283"/>
      <c r="R283" s="1120" t="s">
        <v>257</v>
      </c>
    </row>
    <row r="284" spans="11:18" ht="13.2" x14ac:dyDescent="0.25">
      <c r="K284"/>
      <c r="L284"/>
      <c r="M284"/>
      <c r="R284" s="1120" t="s">
        <v>258</v>
      </c>
    </row>
    <row r="285" spans="11:18" ht="13.2" x14ac:dyDescent="0.25">
      <c r="K285"/>
      <c r="L285"/>
      <c r="M285"/>
      <c r="R285" s="1120" t="s">
        <v>259</v>
      </c>
    </row>
    <row r="286" spans="11:18" ht="13.2" x14ac:dyDescent="0.25">
      <c r="K286"/>
      <c r="L286"/>
      <c r="M286"/>
      <c r="R286" s="1120" t="s">
        <v>260</v>
      </c>
    </row>
    <row r="287" spans="11:18" ht="13.2" x14ac:dyDescent="0.25">
      <c r="K287"/>
      <c r="L287"/>
      <c r="M287"/>
      <c r="R287" s="1120" t="s">
        <v>261</v>
      </c>
    </row>
    <row r="288" spans="11:18" ht="13.2" x14ac:dyDescent="0.25">
      <c r="K288"/>
      <c r="L288"/>
      <c r="M288"/>
      <c r="R288" s="1120" t="s">
        <v>262</v>
      </c>
    </row>
    <row r="289" spans="11:18" ht="13.2" x14ac:dyDescent="0.25">
      <c r="K289"/>
      <c r="L289"/>
      <c r="M289"/>
      <c r="R289" s="1120" t="s">
        <v>263</v>
      </c>
    </row>
    <row r="290" spans="11:18" ht="13.2" x14ac:dyDescent="0.25">
      <c r="K290"/>
      <c r="L290"/>
      <c r="M290"/>
      <c r="R290" s="1120" t="s">
        <v>264</v>
      </c>
    </row>
    <row r="291" spans="11:18" ht="13.2" x14ac:dyDescent="0.25">
      <c r="K291"/>
      <c r="L291"/>
      <c r="M291"/>
      <c r="R291" s="1120" t="s">
        <v>165</v>
      </c>
    </row>
    <row r="292" spans="11:18" ht="13.2" x14ac:dyDescent="0.25">
      <c r="K292"/>
      <c r="L292"/>
      <c r="M292"/>
      <c r="R292" s="1120" t="s">
        <v>265</v>
      </c>
    </row>
    <row r="293" spans="11:18" ht="13.2" x14ac:dyDescent="0.25">
      <c r="K293"/>
      <c r="L293"/>
      <c r="M293"/>
      <c r="R293" s="1120" t="s">
        <v>266</v>
      </c>
    </row>
    <row r="294" spans="11:18" ht="13.2" x14ac:dyDescent="0.25">
      <c r="K294"/>
      <c r="L294"/>
      <c r="M294"/>
      <c r="R294" s="1120" t="s">
        <v>267</v>
      </c>
    </row>
    <row r="295" spans="11:18" ht="13.2" x14ac:dyDescent="0.25">
      <c r="K295"/>
      <c r="L295"/>
      <c r="M295"/>
      <c r="R295" s="1120" t="s">
        <v>268</v>
      </c>
    </row>
    <row r="296" spans="11:18" ht="13.2" x14ac:dyDescent="0.25">
      <c r="K296"/>
      <c r="L296"/>
      <c r="M296"/>
      <c r="R296" s="1120" t="s">
        <v>269</v>
      </c>
    </row>
    <row r="297" spans="11:18" ht="13.2" x14ac:dyDescent="0.25">
      <c r="K297"/>
      <c r="L297"/>
      <c r="M297"/>
      <c r="R297" s="1120" t="s">
        <v>270</v>
      </c>
    </row>
    <row r="298" spans="11:18" ht="13.2" x14ac:dyDescent="0.25">
      <c r="K298"/>
      <c r="L298"/>
      <c r="M298"/>
      <c r="N298"/>
      <c r="R298" s="1120" t="s">
        <v>271</v>
      </c>
    </row>
    <row r="299" spans="11:18" ht="13.2" x14ac:dyDescent="0.25">
      <c r="K299"/>
      <c r="L299"/>
      <c r="M299"/>
      <c r="N299"/>
      <c r="R299" s="1120" t="s">
        <v>272</v>
      </c>
    </row>
    <row r="300" spans="11:18" ht="13.2" x14ac:dyDescent="0.25">
      <c r="K300"/>
      <c r="L300"/>
      <c r="M300"/>
      <c r="R300" s="1120" t="s">
        <v>273</v>
      </c>
    </row>
    <row r="301" spans="11:18" ht="13.2" x14ac:dyDescent="0.25">
      <c r="K301"/>
      <c r="L301"/>
      <c r="M301"/>
      <c r="N301"/>
      <c r="O301"/>
      <c r="R301" s="1120" t="s">
        <v>274</v>
      </c>
    </row>
    <row r="302" spans="11:18" ht="13.2" x14ac:dyDescent="0.25">
      <c r="K302"/>
      <c r="L302"/>
      <c r="M302"/>
      <c r="N302"/>
      <c r="O302"/>
      <c r="R302" s="1120" t="s">
        <v>275</v>
      </c>
    </row>
    <row r="303" spans="11:18" ht="13.2" x14ac:dyDescent="0.25">
      <c r="K303"/>
      <c r="L303"/>
      <c r="M303"/>
      <c r="N303"/>
      <c r="O303"/>
      <c r="R303" s="1120" t="s">
        <v>276</v>
      </c>
    </row>
    <row r="304" spans="11:18" ht="13.2" x14ac:dyDescent="0.25">
      <c r="K304"/>
      <c r="L304"/>
      <c r="M304"/>
      <c r="N304"/>
      <c r="O304"/>
      <c r="R304" s="1120" t="s">
        <v>277</v>
      </c>
    </row>
    <row r="305" spans="11:18" ht="13.2" x14ac:dyDescent="0.25">
      <c r="K305"/>
      <c r="L305"/>
      <c r="M305"/>
      <c r="N305"/>
      <c r="O305"/>
      <c r="R305" s="1120" t="s">
        <v>278</v>
      </c>
    </row>
    <row r="306" spans="11:18" ht="13.2" x14ac:dyDescent="0.25">
      <c r="K306"/>
      <c r="L306"/>
      <c r="M306"/>
      <c r="N306"/>
      <c r="O306"/>
      <c r="R306" s="1120" t="s">
        <v>176</v>
      </c>
    </row>
    <row r="307" spans="11:18" ht="13.2" x14ac:dyDescent="0.25">
      <c r="K307"/>
      <c r="L307"/>
      <c r="M307"/>
      <c r="N307"/>
      <c r="O307"/>
      <c r="R307" s="1120" t="s">
        <v>177</v>
      </c>
    </row>
    <row r="308" spans="11:18" ht="13.2" x14ac:dyDescent="0.25">
      <c r="K308"/>
      <c r="L308"/>
      <c r="M308"/>
      <c r="N308"/>
      <c r="O308"/>
    </row>
    <row r="309" spans="11:18" ht="13.2" x14ac:dyDescent="0.25">
      <c r="K309"/>
      <c r="L309"/>
      <c r="M309"/>
      <c r="N309"/>
      <c r="O309"/>
    </row>
    <row r="310" spans="11:18" ht="13.2" x14ac:dyDescent="0.25">
      <c r="K310"/>
      <c r="L310"/>
      <c r="M310"/>
      <c r="N310"/>
      <c r="O310"/>
    </row>
    <row r="311" spans="11:18" ht="13.2" x14ac:dyDescent="0.25">
      <c r="K311"/>
      <c r="L311"/>
      <c r="M311"/>
      <c r="N311"/>
      <c r="O311"/>
    </row>
    <row r="312" spans="11:18" ht="13.2" x14ac:dyDescent="0.25">
      <c r="K312"/>
      <c r="L312"/>
      <c r="M312"/>
      <c r="N312"/>
      <c r="O312"/>
    </row>
    <row r="313" spans="11:18" ht="13.2" x14ac:dyDescent="0.25">
      <c r="K313"/>
      <c r="L313"/>
      <c r="M313"/>
      <c r="N313"/>
      <c r="O313"/>
    </row>
    <row r="314" spans="11:18" ht="13.2" x14ac:dyDescent="0.25">
      <c r="K314"/>
      <c r="L314"/>
      <c r="M314"/>
      <c r="N314"/>
      <c r="O314"/>
    </row>
    <row r="315" spans="11:18" ht="13.2" x14ac:dyDescent="0.25">
      <c r="K315"/>
      <c r="L315"/>
      <c r="M315"/>
      <c r="N315"/>
      <c r="O315"/>
    </row>
    <row r="316" spans="11:18" ht="13.2" x14ac:dyDescent="0.25">
      <c r="K316"/>
      <c r="L316"/>
      <c r="M316"/>
      <c r="N316"/>
      <c r="O316"/>
    </row>
    <row r="317" spans="11:18" ht="13.2" x14ac:dyDescent="0.25">
      <c r="K317"/>
      <c r="L317"/>
      <c r="M317"/>
      <c r="N317"/>
      <c r="O317"/>
    </row>
    <row r="318" spans="11:18" ht="13.2" x14ac:dyDescent="0.25">
      <c r="K318"/>
      <c r="L318"/>
      <c r="M318"/>
      <c r="N318"/>
      <c r="O318"/>
    </row>
    <row r="319" spans="11:18" ht="13.2" x14ac:dyDescent="0.25">
      <c r="K319"/>
      <c r="L319"/>
      <c r="M319"/>
      <c r="N319"/>
      <c r="O319"/>
    </row>
    <row r="320" spans="11:18" ht="13.2" x14ac:dyDescent="0.25">
      <c r="K320"/>
      <c r="L320"/>
      <c r="M320"/>
    </row>
    <row r="321" spans="11:15" ht="13.2" x14ac:dyDescent="0.25">
      <c r="K321"/>
      <c r="L321"/>
      <c r="M321"/>
    </row>
    <row r="322" spans="11:15" ht="13.2" x14ac:dyDescent="0.25">
      <c r="K322"/>
      <c r="L322"/>
      <c r="M322"/>
    </row>
    <row r="323" spans="11:15" ht="13.2" x14ac:dyDescent="0.25">
      <c r="K323"/>
      <c r="L323"/>
      <c r="M323"/>
      <c r="N323"/>
    </row>
    <row r="324" spans="11:15" ht="13.2" x14ac:dyDescent="0.25">
      <c r="K324"/>
      <c r="L324"/>
      <c r="M324"/>
    </row>
    <row r="325" spans="11:15" ht="13.2" x14ac:dyDescent="0.25">
      <c r="K325"/>
      <c r="L325"/>
      <c r="M325"/>
    </row>
    <row r="326" spans="11:15" ht="13.2" x14ac:dyDescent="0.25">
      <c r="K326"/>
      <c r="L326"/>
      <c r="M326"/>
    </row>
    <row r="327" spans="11:15" ht="13.2" x14ac:dyDescent="0.25">
      <c r="K327"/>
      <c r="L327"/>
      <c r="M327"/>
      <c r="N327"/>
    </row>
    <row r="328" spans="11:15" ht="13.2" x14ac:dyDescent="0.25">
      <c r="K328"/>
      <c r="L328"/>
      <c r="M328"/>
    </row>
    <row r="329" spans="11:15" ht="13.2" x14ac:dyDescent="0.25">
      <c r="K329"/>
      <c r="L329"/>
      <c r="M329"/>
      <c r="N329"/>
    </row>
    <row r="330" spans="11:15" ht="13.2" x14ac:dyDescent="0.25">
      <c r="K330"/>
      <c r="L330"/>
      <c r="M330"/>
    </row>
    <row r="331" spans="11:15" ht="13.2" x14ac:dyDescent="0.25">
      <c r="K331"/>
      <c r="L331"/>
      <c r="M331"/>
      <c r="N331"/>
    </row>
    <row r="332" spans="11:15" ht="13.2" x14ac:dyDescent="0.25">
      <c r="K332"/>
      <c r="L332"/>
      <c r="M332"/>
    </row>
    <row r="333" spans="11:15" ht="13.2" x14ac:dyDescent="0.25">
      <c r="K333"/>
      <c r="L333"/>
      <c r="M333"/>
    </row>
    <row r="334" spans="11:15" ht="13.2" x14ac:dyDescent="0.25">
      <c r="K334"/>
      <c r="L334"/>
      <c r="M334"/>
      <c r="N334"/>
      <c r="O334"/>
    </row>
    <row r="335" spans="11:15" ht="13.2" x14ac:dyDescent="0.25">
      <c r="K335"/>
      <c r="L335"/>
      <c r="M335"/>
      <c r="N335"/>
      <c r="O335"/>
    </row>
    <row r="336" spans="11:15" ht="13.2" x14ac:dyDescent="0.25">
      <c r="K336"/>
      <c r="L336"/>
      <c r="M336"/>
      <c r="N336"/>
      <c r="O336"/>
    </row>
    <row r="337" spans="11:27" ht="13.2" x14ac:dyDescent="0.25">
      <c r="K337"/>
      <c r="L337"/>
      <c r="M337"/>
      <c r="N337"/>
      <c r="O337"/>
    </row>
    <row r="338" spans="11:27" ht="13.2" x14ac:dyDescent="0.25">
      <c r="K338"/>
      <c r="L338"/>
      <c r="M338"/>
      <c r="N338"/>
      <c r="O338"/>
    </row>
    <row r="339" spans="11:27" ht="13.2" x14ac:dyDescent="0.25">
      <c r="K339"/>
      <c r="L339"/>
      <c r="M339"/>
      <c r="N339"/>
      <c r="O339"/>
    </row>
    <row r="340" spans="11:27" ht="13.2" x14ac:dyDescent="0.25">
      <c r="K340"/>
      <c r="L340"/>
      <c r="M340"/>
      <c r="N340"/>
      <c r="O340"/>
    </row>
    <row r="341" spans="11:27" ht="13.2" x14ac:dyDescent="0.25">
      <c r="K341"/>
      <c r="L341"/>
      <c r="M341"/>
      <c r="N341"/>
      <c r="O341"/>
    </row>
    <row r="342" spans="11:27" ht="13.2" x14ac:dyDescent="0.25">
      <c r="K342"/>
      <c r="L342"/>
      <c r="M342"/>
      <c r="N342"/>
      <c r="O342"/>
    </row>
    <row r="343" spans="11:27" ht="13.2" x14ac:dyDescent="0.25">
      <c r="K343"/>
      <c r="L343"/>
      <c r="M343"/>
      <c r="N343"/>
      <c r="O343"/>
    </row>
    <row r="344" spans="11:27" ht="13.2" x14ac:dyDescent="0.25">
      <c r="K344"/>
      <c r="L344"/>
      <c r="M344"/>
      <c r="N344"/>
      <c r="O344"/>
    </row>
    <row r="345" spans="11:27" ht="13.2" x14ac:dyDescent="0.25">
      <c r="K345"/>
      <c r="L345"/>
      <c r="M345"/>
      <c r="N345"/>
      <c r="O345"/>
    </row>
    <row r="346" spans="11:27" ht="13.2" x14ac:dyDescent="0.25">
      <c r="N346"/>
      <c r="O346"/>
    </row>
    <row r="347" spans="11:27" ht="13.2" x14ac:dyDescent="0.25">
      <c r="N347"/>
      <c r="O347"/>
      <c r="AA347"/>
    </row>
  </sheetData>
  <sheetProtection algorithmName="SHA-512" hashValue="7+gOgQgo9TpQ3BmG5KIRyLniAmxPfJ1ZeaVXap/xzd/mHeOMbkeU37NlGRcuHbpJ5E4lSaKdJzWhpaQAxLJhZA==" saltValue="AVicZWpfOSaUSgO/+LM5zA==" spinCount="100000" sheet="1" selectLockedCells="1"/>
  <sortState xmlns:xlrd2="http://schemas.microsoft.com/office/spreadsheetml/2017/richdata2" ref="AF23:AF51">
    <sortCondition ref="AF23:AF51"/>
  </sortState>
  <mergeCells count="57">
    <mergeCell ref="A40:B40"/>
    <mergeCell ref="T13:Y13"/>
    <mergeCell ref="F37:G37"/>
    <mergeCell ref="C170:D170"/>
    <mergeCell ref="A3:A8"/>
    <mergeCell ref="J27:O28"/>
    <mergeCell ref="C27:D27"/>
    <mergeCell ref="C16:D16"/>
    <mergeCell ref="C19:D19"/>
    <mergeCell ref="F19:G19"/>
    <mergeCell ref="H19:I19"/>
    <mergeCell ref="H28:I32"/>
    <mergeCell ref="C32:D32"/>
    <mergeCell ref="J22:P26"/>
    <mergeCell ref="C25:D25"/>
    <mergeCell ref="F32:G32"/>
    <mergeCell ref="C28:D28"/>
    <mergeCell ref="F27:G27"/>
    <mergeCell ref="F30:G30"/>
    <mergeCell ref="C151:D151"/>
    <mergeCell ref="E12:I13"/>
    <mergeCell ref="H16:I16"/>
    <mergeCell ref="H40:I40"/>
    <mergeCell ref="H24:I27"/>
    <mergeCell ref="C24:D24"/>
    <mergeCell ref="H69:I70"/>
    <mergeCell ref="H144:I145"/>
    <mergeCell ref="I57:I59"/>
    <mergeCell ref="G168:I169"/>
    <mergeCell ref="G151:I152"/>
    <mergeCell ref="G53:H53"/>
    <mergeCell ref="F60:G60"/>
    <mergeCell ref="C138:I139"/>
    <mergeCell ref="C109:I110"/>
    <mergeCell ref="G112:H112"/>
    <mergeCell ref="C120:D120"/>
    <mergeCell ref="H116:I116"/>
    <mergeCell ref="H68:I68"/>
    <mergeCell ref="H143:I143"/>
    <mergeCell ref="H160:I160"/>
    <mergeCell ref="G73:I74"/>
    <mergeCell ref="C75:D75"/>
    <mergeCell ref="H161:I162"/>
    <mergeCell ref="B11:D11"/>
    <mergeCell ref="F11:H11"/>
    <mergeCell ref="B2:G2"/>
    <mergeCell ref="H2:I2"/>
    <mergeCell ref="B10:D10"/>
    <mergeCell ref="F10:H10"/>
    <mergeCell ref="B3:I3"/>
    <mergeCell ref="B9:C9"/>
    <mergeCell ref="D9:E9"/>
    <mergeCell ref="B4:I4"/>
    <mergeCell ref="B5:I5"/>
    <mergeCell ref="F9:I9"/>
    <mergeCell ref="B6:I6"/>
    <mergeCell ref="B8:I8"/>
  </mergeCells>
  <conditionalFormatting sqref="B4">
    <cfRule type="expression" dxfId="307" priority="108">
      <formula>$B$4&lt;&gt;""</formula>
    </cfRule>
  </conditionalFormatting>
  <conditionalFormatting sqref="B5">
    <cfRule type="expression" dxfId="306" priority="107">
      <formula>$B$5&lt;&gt;""</formula>
    </cfRule>
  </conditionalFormatting>
  <conditionalFormatting sqref="B8">
    <cfRule type="expression" dxfId="305" priority="104">
      <formula>$B$8&lt;&gt;""</formula>
    </cfRule>
  </conditionalFormatting>
  <conditionalFormatting sqref="B10:D10">
    <cfRule type="expression" dxfId="304" priority="11">
      <formula>$I$11=0</formula>
    </cfRule>
  </conditionalFormatting>
  <conditionalFormatting sqref="B7:I7">
    <cfRule type="expression" dxfId="303" priority="105">
      <formula>$B$7&lt;&gt;""</formula>
    </cfRule>
  </conditionalFormatting>
  <conditionalFormatting sqref="C29:C30">
    <cfRule type="expression" dxfId="302" priority="41">
      <formula>$C$30&lt;&gt;""</formula>
    </cfRule>
  </conditionalFormatting>
  <conditionalFormatting sqref="C60">
    <cfRule type="expression" dxfId="301" priority="31">
      <formula>$C$30&lt;&gt;""</formula>
    </cfRule>
  </conditionalFormatting>
  <conditionalFormatting sqref="C118:C119">
    <cfRule type="expression" dxfId="300" priority="43">
      <formula>$C$119&lt;&gt;""</formula>
    </cfRule>
  </conditionalFormatting>
  <conditionalFormatting sqref="C143:C144">
    <cfRule type="expression" dxfId="299" priority="47">
      <formula>$C$144&lt;&gt;""</formula>
    </cfRule>
  </conditionalFormatting>
  <conditionalFormatting sqref="C152">
    <cfRule type="expression" dxfId="298" priority="66">
      <formula>$C$152&lt;&gt;""</formula>
    </cfRule>
  </conditionalFormatting>
  <conditionalFormatting sqref="C160:C161">
    <cfRule type="expression" dxfId="297" priority="45">
      <formula>$C$161&lt;&gt;""</formula>
    </cfRule>
  </conditionalFormatting>
  <conditionalFormatting sqref="C169">
    <cfRule type="expression" dxfId="296" priority="80">
      <formula>$C$169&lt;&gt;""</formula>
    </cfRule>
  </conditionalFormatting>
  <conditionalFormatting sqref="C170">
    <cfRule type="expression" dxfId="295" priority="76">
      <formula>$C$170&lt;&gt;""</formula>
    </cfRule>
  </conditionalFormatting>
  <conditionalFormatting sqref="C75:D75">
    <cfRule type="expression" dxfId="294" priority="79">
      <formula>$C$75&lt;&gt;""</formula>
    </cfRule>
  </conditionalFormatting>
  <conditionalFormatting sqref="C151:D151">
    <cfRule type="expression" dxfId="293" priority="78">
      <formula>$C$151&lt;&gt;""</formula>
    </cfRule>
  </conditionalFormatting>
  <conditionalFormatting sqref="D69">
    <cfRule type="expression" dxfId="292" priority="27">
      <formula>$D$69&lt;&gt;""</formula>
    </cfRule>
  </conditionalFormatting>
  <conditionalFormatting sqref="D72">
    <cfRule type="expression" dxfId="291" priority="26">
      <formula>$D$72&lt;&gt;""</formula>
    </cfRule>
  </conditionalFormatting>
  <conditionalFormatting sqref="E10">
    <cfRule type="expression" dxfId="290" priority="10">
      <formula>$I$11=0</formula>
    </cfRule>
  </conditionalFormatting>
  <conditionalFormatting sqref="E75">
    <cfRule type="expression" dxfId="289" priority="61">
      <formula>$C$75&lt;&gt;""</formula>
    </cfRule>
  </conditionalFormatting>
  <conditionalFormatting sqref="F29">
    <cfRule type="expression" dxfId="288" priority="58">
      <formula>$F$29&lt;&gt;""</formula>
    </cfRule>
  </conditionalFormatting>
  <conditionalFormatting sqref="F59">
    <cfRule type="expression" dxfId="287" priority="30">
      <formula>$F$29&lt;&gt;""</formula>
    </cfRule>
  </conditionalFormatting>
  <conditionalFormatting sqref="F60">
    <cfRule type="expression" dxfId="286" priority="29">
      <formula>$C$30&lt;&gt;""</formula>
    </cfRule>
  </conditionalFormatting>
  <conditionalFormatting sqref="F74">
    <cfRule type="expression" dxfId="285" priority="109">
      <formula>$C$74&lt;&gt;""</formula>
    </cfRule>
  </conditionalFormatting>
  <conditionalFormatting sqref="F118:F119">
    <cfRule type="expression" dxfId="284" priority="42">
      <formula>$F$119&lt;&gt;""</formula>
    </cfRule>
  </conditionalFormatting>
  <conditionalFormatting sqref="F143:F144">
    <cfRule type="expression" dxfId="283" priority="46">
      <formula>$F$144&lt;&gt;""</formula>
    </cfRule>
  </conditionalFormatting>
  <conditionalFormatting sqref="F151">
    <cfRule type="expression" dxfId="282" priority="6">
      <formula>$C$151=""</formula>
    </cfRule>
  </conditionalFormatting>
  <conditionalFormatting sqref="F152">
    <cfRule type="expression" dxfId="281" priority="96">
      <formula>$C$152&lt;&gt;""</formula>
    </cfRule>
  </conditionalFormatting>
  <conditionalFormatting sqref="F160:F161">
    <cfRule type="expression" dxfId="280" priority="44">
      <formula>$F$161&lt;&gt;""</formula>
    </cfRule>
  </conditionalFormatting>
  <conditionalFormatting sqref="F169">
    <cfRule type="expression" dxfId="279" priority="86">
      <formula>$C$169&lt;&gt;""</formula>
    </cfRule>
    <cfRule type="expression" dxfId="278" priority="65">
      <formula>$C$169=""</formula>
    </cfRule>
  </conditionalFormatting>
  <conditionalFormatting sqref="F170">
    <cfRule type="expression" dxfId="277" priority="7">
      <formula>$C$170=""</formula>
    </cfRule>
  </conditionalFormatting>
  <conditionalFormatting sqref="F30:G30">
    <cfRule type="expression" dxfId="276" priority="40">
      <formula>$F$30&lt;&gt;""</formula>
    </cfRule>
  </conditionalFormatting>
  <conditionalFormatting sqref="G54">
    <cfRule type="expression" dxfId="275" priority="18">
      <formula>$G$53&lt;&gt;""</formula>
    </cfRule>
  </conditionalFormatting>
  <conditionalFormatting sqref="G58">
    <cfRule type="expression" dxfId="274" priority="5">
      <formula>$G$57=""</formula>
    </cfRule>
  </conditionalFormatting>
  <conditionalFormatting sqref="G113">
    <cfRule type="expression" dxfId="273" priority="17">
      <formula>$G$112&lt;&gt;""</formula>
    </cfRule>
  </conditionalFormatting>
  <conditionalFormatting sqref="G73:I74">
    <cfRule type="expression" dxfId="272" priority="62">
      <formula>$G$73&lt;&gt;""</formula>
    </cfRule>
  </conditionalFormatting>
  <conditionalFormatting sqref="G151:I152">
    <cfRule type="expression" dxfId="271" priority="63">
      <formula>$G$151&lt;&gt;""</formula>
    </cfRule>
  </conditionalFormatting>
  <conditionalFormatting sqref="G168:I169">
    <cfRule type="expression" dxfId="270" priority="64">
      <formula>$G$168&lt;&gt;""</formula>
    </cfRule>
  </conditionalFormatting>
  <conditionalFormatting sqref="H57">
    <cfRule type="expression" dxfId="269" priority="15">
      <formula>$H$57=$M$83</formula>
    </cfRule>
  </conditionalFormatting>
  <conditionalFormatting sqref="H71">
    <cfRule type="expression" dxfId="268" priority="4">
      <formula>$H$69&lt;&gt;""</formula>
    </cfRule>
  </conditionalFormatting>
  <conditionalFormatting sqref="H146">
    <cfRule type="expression" dxfId="267" priority="3">
      <formula>$H$144&lt;&gt;""</formula>
    </cfRule>
  </conditionalFormatting>
  <conditionalFormatting sqref="H163">
    <cfRule type="expression" dxfId="266" priority="2">
      <formula>$H$161&lt;&gt;""</formula>
    </cfRule>
  </conditionalFormatting>
  <conditionalFormatting sqref="H116:I116">
    <cfRule type="expression" dxfId="265" priority="12">
      <formula>$C$113&lt;&gt;""</formula>
    </cfRule>
  </conditionalFormatting>
  <conditionalFormatting sqref="I60">
    <cfRule type="expression" dxfId="264" priority="1">
      <formula>$I$57&lt;&gt;""</formula>
    </cfRule>
  </conditionalFormatting>
  <conditionalFormatting sqref="I72">
    <cfRule type="expression" dxfId="263" priority="73">
      <formula>$G$72&lt;&gt;""</formula>
    </cfRule>
  </conditionalFormatting>
  <conditionalFormatting sqref="I117">
    <cfRule type="expression" dxfId="262" priority="8">
      <formula>$H$116=""</formula>
    </cfRule>
  </conditionalFormatting>
  <conditionalFormatting sqref="I150">
    <cfRule type="expression" dxfId="261" priority="74">
      <formula>$G$150&lt;&gt;""</formula>
    </cfRule>
  </conditionalFormatting>
  <conditionalFormatting sqref="I167">
    <cfRule type="expression" dxfId="260" priority="72">
      <formula>$G$167&lt;&gt;""</formula>
    </cfRule>
  </conditionalFormatting>
  <conditionalFormatting sqref="J27:O28">
    <cfRule type="expression" dxfId="259" priority="48">
      <formula>$J$27&lt;&gt;""</formula>
    </cfRule>
  </conditionalFormatting>
  <dataValidations count="40">
    <dataValidation type="list" allowBlank="1" showInputMessage="1" showErrorMessage="1" sqref="F39:F42 C40:C42" xr:uid="{00000000-0002-0000-0200-000000000000}">
      <formula1>$K$36:$K$49</formula1>
    </dataValidation>
    <dataValidation type="list" allowBlank="1" showInputMessage="1" showErrorMessage="1" sqref="F165 G113 H57 I75 E120 I117 E11 G54 F170 E75 G58 F151 F153 H71 H146 H163 I60" xr:uid="{00000000-0002-0000-0200-000001000000}">
      <formula1>$M$82:$M$84</formula1>
    </dataValidation>
    <dataValidation type="list" allowBlank="1" showInputMessage="1" showErrorMessage="1" sqref="H16" xr:uid="{00000000-0002-0000-0200-000002000000}">
      <formula1>$L$14:$L$16</formula1>
    </dataValidation>
    <dataValidation type="list" sqref="C27:D27" xr:uid="{00000000-0002-0000-0200-000003000000}">
      <formula1>$M$36:$M$40</formula1>
    </dataValidation>
    <dataValidation type="time" allowBlank="1" showInputMessage="1" showErrorMessage="1" errorTitle="ERROR" error="DEBE UTILIZAR EL FORMATO DE HORA . EJ: 14:30" sqref="F113" xr:uid="{00000000-0002-0000-0200-000004000000}">
      <formula1>L8</formula1>
      <formula2>L9</formula2>
    </dataValidation>
    <dataValidation type="time" allowBlank="1" showInputMessage="1" showErrorMessage="1" errorTitle="ERROR" error="PARA EL REGRESO ENTRE 12 Y LA 1 DE LA MADRUGADA, DEBE UTILIZAR EL FORMATO 24:00  EN LUGAR DE 0:00" sqref="F116" xr:uid="{00000000-0002-0000-0200-000005000000}">
      <formula1>L8</formula1>
      <formula2>L9</formula2>
    </dataValidation>
    <dataValidation type="time" allowBlank="1" showInputMessage="1" showErrorMessage="1" errorTitle="ERROR" error="DEBE UTILIZAR EL FORMATO DE HORA . EJ: 14:30" sqref="F147" xr:uid="{00000000-0002-0000-0200-000006000000}">
      <formula1>L8</formula1>
      <formula2>L9</formula2>
    </dataValidation>
    <dataValidation type="time" allowBlank="1" showInputMessage="1" showErrorMessage="1" errorTitle="ERROR" error="PARA EL REGRESO ENTRE 12 Y LA 1 DE LA MADRUGADA, DEBE UTILIZAR EL FORMATO 24:00  EN LUGAR DE 0:00" sqref="F150" xr:uid="{00000000-0002-0000-0200-000007000000}">
      <formula1>L8</formula1>
      <formula2>L9</formula2>
    </dataValidation>
    <dataValidation type="time" allowBlank="1" showInputMessage="1" showErrorMessage="1" errorTitle="ERROR" error="DEBE UTILIZAR EL FORMATO DE HORA . EJ: 14:30" sqref="F164" xr:uid="{00000000-0002-0000-0200-000008000000}">
      <formula1>L8</formula1>
      <formula2>L9</formula2>
    </dataValidation>
    <dataValidation type="time" allowBlank="1" showInputMessage="1" showErrorMessage="1" errorTitle="ERROR" error="PARA EL REGRESO ENTRE 12 Y LA 1 DE LA MADRUGADA, DEBE UTILIZAR EL FORMATO 24:00  EN LUGAR DE 0:00" sqref="F167" xr:uid="{00000000-0002-0000-0200-000009000000}">
      <formula1>L8</formula1>
      <formula2>L9</formula2>
    </dataValidation>
    <dataValidation type="time" allowBlank="1" showInputMessage="1" showErrorMessage="1" errorTitle="ERROR" error="DEBE UTILIZAR EL FORMATO DE HORA . EJ: 14:30" sqref="F152" xr:uid="{00000000-0002-0000-0200-00000A000000}">
      <formula1>L8</formula1>
      <formula2>L9</formula2>
    </dataValidation>
    <dataValidation type="time" allowBlank="1" showInputMessage="1" showErrorMessage="1" errorTitle="ERROR" error="DEBE UTILIZAR EL FORMATO DE HORA . EJ: 14:30" sqref="F74" xr:uid="{00000000-0002-0000-0200-00000B000000}">
      <formula1>L8</formula1>
      <formula2>L9</formula2>
    </dataValidation>
    <dataValidation type="date" allowBlank="1" showInputMessage="1" showErrorMessage="1" errorTitle="ERROR" error="UTILICE EL FORMATO DE FECHA: DD/MM/AAAA_x000a_Ejemplo: 23/06/2025" sqref="C30" xr:uid="{00000000-0002-0000-0200-00000C000000}">
      <formula1>K8</formula1>
      <formula2>K9</formula2>
    </dataValidation>
    <dataValidation type="date" allowBlank="1" showInputMessage="1" showErrorMessage="1" errorTitle="ERROR" error="UTILICE EL FORMATO DE FECHA: DD/MM/AAAA_x000a_Ejemplo: 23/06/2025_x000a_" sqref="F30:G30" xr:uid="{00000000-0002-0000-0200-00000D000000}">
      <formula1>K8</formula1>
      <formula2>K9</formula2>
    </dataValidation>
    <dataValidation type="date" allowBlank="1" showInputMessage="1" showErrorMessage="1" errorTitle="ERROR" error="UTILICE EL FORMATO DE FECHA: DD/MM/AAAA_x000a_Ejemplo: 23/06/2025" sqref="C54" xr:uid="{00000000-0002-0000-0200-00000E000000}">
      <formula1>K8</formula1>
      <formula2>K9</formula2>
    </dataValidation>
    <dataValidation type="date" allowBlank="1" showInputMessage="1" showErrorMessage="1" errorTitle="ERROR" error="UTILICE EL FORMATO DE FECHA: DD/MM/AAAA_x000a_Ejemplo: 23/06/2025" sqref="C57" xr:uid="{00000000-0002-0000-0200-00000F000000}">
      <formula1>K8</formula1>
      <formula2>K9</formula2>
    </dataValidation>
    <dataValidation type="date" allowBlank="1" showInputMessage="1" showErrorMessage="1" errorTitle="ERROR" error="UTILICE EL FORMATO DE FECHA: DD/MM/AAAA_x000a_Ejemplo: 23/06/2025" sqref="C69" xr:uid="{00000000-0002-0000-0200-000010000000}">
      <formula1>K8</formula1>
      <formula2>K9</formula2>
    </dataValidation>
    <dataValidation type="date" allowBlank="1" showInputMessage="1" showErrorMessage="1" errorTitle="ERROR" error="UTILICE EL FORMATO DE FECHA: DD/MM/AAAA_x000a_Ejemplo: 23/06/2025" sqref="C72" xr:uid="{00000000-0002-0000-0200-000011000000}">
      <formula1>K8</formula1>
      <formula2>K9</formula2>
    </dataValidation>
    <dataValidation type="date" allowBlank="1" showInputMessage="1" showErrorMessage="1" errorTitle="ERROR" error="UTILICE EL FORMATO DE FECHA: DD/MM/AAAA_x000a_Ejemplo: 23/06/2025" sqref="C113" xr:uid="{00000000-0002-0000-0200-000012000000}">
      <formula1>K8</formula1>
      <formula2>K9</formula2>
    </dataValidation>
    <dataValidation type="date" allowBlank="1" showInputMessage="1" showErrorMessage="1" errorTitle="ERROR" error="UTILICE EL FORMATO DE FECHA: DD/MM/AAAA_x000a_Ejemplo: 23/06/2025" sqref="C116" xr:uid="{00000000-0002-0000-0200-000013000000}">
      <formula1>K8</formula1>
      <formula2>K9</formula2>
    </dataValidation>
    <dataValidation type="date" allowBlank="1" showInputMessage="1" showErrorMessage="1" errorTitle="ERROR" error="UTILICE EL FORMATO DE FECHA: DD/MM/AAAA_x000a_Ejemplo: 23/06/2025" sqref="C119" xr:uid="{00000000-0002-0000-0200-000014000000}">
      <formula1>K8</formula1>
      <formula2>K9</formula2>
    </dataValidation>
    <dataValidation type="date" allowBlank="1" showInputMessage="1" showErrorMessage="1" errorTitle="ERROR" error="UTILICE EL FORMATO DE FECHA: DD/MM/AAAA_x000a_Ejemplo: 23/06/2025" sqref="F119" xr:uid="{00000000-0002-0000-0200-000015000000}">
      <formula1>K8</formula1>
      <formula2>K9</formula2>
    </dataValidation>
    <dataValidation type="date" allowBlank="1" showInputMessage="1" showErrorMessage="1" errorTitle="ERROR" error="UTILICE EL FORMATO DE FECHA: DD/MM/AAAA_x000a_Ejemplo: 23/06/2025" sqref="C144" xr:uid="{00000000-0002-0000-0200-000016000000}">
      <formula1>K8</formula1>
      <formula2>K9</formula2>
    </dataValidation>
    <dataValidation type="date" allowBlank="1" showInputMessage="1" showErrorMessage="1" errorTitle="ERROR" error="UTILICE EL FORMATO DE FECHA: DD/MM/AAAA_x000a_Ejemplo: 23/06/2025" sqref="F144" xr:uid="{00000000-0002-0000-0200-000017000000}">
      <formula1>K8</formula1>
      <formula2>K9</formula2>
    </dataValidation>
    <dataValidation type="date" allowBlank="1" showInputMessage="1" showErrorMessage="1" errorTitle="ERROR" error="UTILICE EL FORMATO DE FECHA: DD/MM/AAAA_x000a_Ejemplo: 23/06/2025" sqref="C147" xr:uid="{00000000-0002-0000-0200-000018000000}">
      <formula1>K8</formula1>
      <formula2>K9</formula2>
    </dataValidation>
    <dataValidation type="date" allowBlank="1" showInputMessage="1" showErrorMessage="1" errorTitle="ERROR" error="UTILICE EL FORMATO DE FECHA: DD/MM/AAAA_x000a_Ejemplo: 23/06/2025" sqref="C150" xr:uid="{00000000-0002-0000-0200-000019000000}">
      <formula1>K8</formula1>
      <formula2>K9</formula2>
    </dataValidation>
    <dataValidation type="date" allowBlank="1" showInputMessage="1" showErrorMessage="1" errorTitle="ERROR" error="UTILICE EL FORMATO DE FECHA: DD/MM/AAAA_x000a_Ejemplo: 23/06/2025" sqref="I150" xr:uid="{00000000-0002-0000-0200-00001A000000}">
      <formula1>K8</formula1>
      <formula2>K9</formula2>
    </dataValidation>
    <dataValidation type="date" allowBlank="1" showInputMessage="1" showErrorMessage="1" errorTitle="ERROR" error="UTILICE EL FORMATO DE FECHA: DD/MM/AAAA_x000a_Ejemplo: 23/06/2025" sqref="C161" xr:uid="{00000000-0002-0000-0200-00001B000000}">
      <formula1>K8</formula1>
      <formula2>K9</formula2>
    </dataValidation>
    <dataValidation type="date" allowBlank="1" showInputMessage="1" showErrorMessage="1" errorTitle="ERROR" error="UTILICE EL FORMATO DE FECHA: DD/MM/AAAA_x000a_Ejemplo: 23/06/2025" sqref="F161" xr:uid="{00000000-0002-0000-0200-00001C000000}">
      <formula1>K8</formula1>
      <formula2>K9</formula2>
    </dataValidation>
    <dataValidation type="date" allowBlank="1" showInputMessage="1" showErrorMessage="1" errorTitle="ERROR" error="UTILICE EL FORMATO DE FECHA: DD/MM/AAAA_x000a_Ejemplo: 23/06/2025" sqref="C164" xr:uid="{00000000-0002-0000-0200-00001D000000}">
      <formula1>K8</formula1>
      <formula2>K9</formula2>
    </dataValidation>
    <dataValidation type="date" allowBlank="1" showInputMessage="1" showErrorMessage="1" errorTitle="ERROR" error="UTILICE EL FORMATO DE FECHA: DD/MM/AAAA_x000a_Ejemplo: 23/06/2025" sqref="C167" xr:uid="{00000000-0002-0000-0200-00001E000000}">
      <formula1>K8</formula1>
      <formula2>K9</formula2>
    </dataValidation>
    <dataValidation type="date" allowBlank="1" showInputMessage="1" showErrorMessage="1" errorTitle="ERROR" error="UTILICE EL FORMATO DE FECHA: DD/MM/AAAA_x000a_Ejemplo: 23/06/2025" sqref="I167" xr:uid="{00000000-0002-0000-0200-00001F000000}">
      <formula1>K8</formula1>
      <formula2>K9</formula2>
    </dataValidation>
    <dataValidation type="time" allowBlank="1" showInputMessage="1" showErrorMessage="1" errorTitle="ERROR" error="UTILICE EL FORMATO DE HORA _x000a_HH:MM_x000a_EJEMPLO 14:30" sqref="F169" xr:uid="{00000000-0002-0000-0200-000020000000}">
      <formula1>L8</formula1>
      <formula2>L9</formula2>
    </dataValidation>
    <dataValidation type="time" allowBlank="1" showInputMessage="1" showErrorMessage="1" errorTitle="ERROR" error="DEBE UTILIZAR EL FORMATO DE HORA Ej: 14:30" sqref="F69" xr:uid="{00000000-0002-0000-0200-000021000000}">
      <formula1>L8</formula1>
      <formula2>L9</formula2>
    </dataValidation>
    <dataValidation type="time" allowBlank="1" showInputMessage="1" showErrorMessage="1" errorTitle="ERROR" error="PARA EL REGRESO ENTRE 12 Y LA 1 DE LA MADRUGADA, DEBE UTILIZAR EL FORMATO 24:00  EN LUGAR DE 0:00" sqref="F72" xr:uid="{00000000-0002-0000-0200-000022000000}">
      <formula1>L8</formula1>
      <formula2>L9</formula2>
    </dataValidation>
    <dataValidation type="time" allowBlank="1" showInputMessage="1" showErrorMessage="1" sqref="F54" xr:uid="{00000000-0002-0000-0200-000023000000}">
      <formula1>L8</formula1>
      <formula2>L9</formula2>
    </dataValidation>
    <dataValidation type="time" allowBlank="1" showInputMessage="1" showErrorMessage="1" errorTitle="ERROR" error="PARA EL REGRESO ENTRE 12 Y LA 1 DE LA MADRUGADA, DEBE UTILIZAR EL FORMATO 24:00  EN LUGAR DE 0:00" sqref="F57" xr:uid="{00000000-0002-0000-0200-000024000000}">
      <formula1>L8</formula1>
      <formula2>L9</formula2>
    </dataValidation>
    <dataValidation type="list" allowBlank="1" showInputMessage="1" showErrorMessage="1" sqref="H24" xr:uid="{00000000-0002-0000-0200-000025000000}">
      <formula1>$AF$22:$AF$53</formula1>
    </dataValidation>
    <dataValidation type="list" showInputMessage="1" showErrorMessage="1" sqref="C39" xr:uid="{00000000-0002-0000-0200-000026000000}">
      <formula1>$K$36:$K$49</formula1>
    </dataValidation>
    <dataValidation type="list" showInputMessage="1" showErrorMessage="1" errorTitle="error" error="aaaaaa" sqref="E10" xr:uid="{00000000-0002-0000-0200-000027000000}">
      <formula1>$M$82:$M$84</formula1>
    </dataValidation>
  </dataValidations>
  <hyperlinks>
    <hyperlink ref="H2:I2" location="Ayuda!A1" display="AYUDA DEL FORMULARIO" xr:uid="{00000000-0004-0000-0200-000000000000}"/>
    <hyperlink ref="F11:H11" location="'LIQUIDACIÓN-GASTOS'!AM94" display="Haga clica para ir a la liquidación" xr:uid="{00000000-0004-0000-0200-000001000000}"/>
    <hyperlink ref="F10:H10" location="Renuncia!A1" display="Renuncie por conceptos cuando salga el importe" xr:uid="{00000000-0004-0000-0200-000002000000}"/>
  </hyperlinks>
  <printOptions horizontalCentered="1" verticalCentered="1"/>
  <pageMargins left="0" right="0" top="0" bottom="0" header="0" footer="0"/>
  <pageSetup paperSize="9" scale="62" orientation="landscape" r:id="rId1"/>
  <rowBreaks count="1" manualBreakCount="1">
    <brk id="105"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28000000}">
          <x14:formula1>
            <xm:f>INDIRECT(ANEXO!$BC$1)</xm:f>
          </x14:formula1>
          <xm:sqref>H160 H143 H68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indexed="17"/>
  </sheetPr>
  <dimension ref="A1:BC1299"/>
  <sheetViews>
    <sheetView topLeftCell="A244" zoomScale="80" zoomScaleNormal="80" workbookViewId="0">
      <selection activeCell="A250" sqref="A250"/>
    </sheetView>
  </sheetViews>
  <sheetFormatPr baseColWidth="10" defaultColWidth="11.44140625" defaultRowHeight="13.2" x14ac:dyDescent="0.25"/>
  <cols>
    <col min="1" max="1" width="26.44140625" style="104" customWidth="1"/>
    <col min="2" max="2" width="17" style="567" customWidth="1"/>
    <col min="3" max="3" width="23.44140625" style="567" customWidth="1"/>
    <col min="4" max="4" width="26.33203125" style="104" customWidth="1"/>
    <col min="5" max="5" width="18.44140625" style="104" customWidth="1"/>
    <col min="6" max="6" width="23.44140625" style="104" customWidth="1"/>
    <col min="7" max="7" width="18.44140625" style="104" customWidth="1"/>
    <col min="8" max="8" width="32.6640625" style="165" customWidth="1"/>
    <col min="9" max="9" width="13.44140625" style="67" customWidth="1"/>
    <col min="10" max="10" width="14.6640625" customWidth="1"/>
    <col min="11" max="11" width="14.44140625" customWidth="1"/>
    <col min="14" max="14" width="63.6640625" customWidth="1"/>
    <col min="15" max="15" width="13.6640625" customWidth="1"/>
    <col min="16" max="16" width="12.44140625" customWidth="1"/>
    <col min="17" max="18" width="22.33203125" customWidth="1"/>
    <col min="19" max="20" width="23.44140625" customWidth="1"/>
    <col min="21" max="21" width="57.6640625" customWidth="1"/>
    <col min="22" max="22" width="26.6640625" customWidth="1"/>
    <col min="23" max="23" width="16.6640625" customWidth="1"/>
    <col min="24" max="25" width="11.44140625" style="543" customWidth="1"/>
    <col min="26" max="26" width="11.44140625" style="104" customWidth="1"/>
    <col min="27" max="27" width="71.6640625" customWidth="1"/>
    <col min="28" max="28" width="57.33203125" customWidth="1"/>
    <col min="29" max="29" width="17.44140625" style="543" customWidth="1"/>
    <col min="30" max="30" width="11.44140625" style="543" customWidth="1"/>
    <col min="31" max="31" width="49.109375" customWidth="1"/>
    <col min="32" max="32" width="52.6640625" customWidth="1"/>
    <col min="33" max="33" width="49.109375" customWidth="1"/>
    <col min="34" max="34" width="32.33203125" customWidth="1"/>
    <col min="35" max="35" width="16.6640625" customWidth="1"/>
    <col min="36" max="36" width="40.44140625" customWidth="1"/>
    <col min="41" max="41" width="22.109375" customWidth="1"/>
    <col min="42" max="42" width="21.44140625" customWidth="1"/>
    <col min="43" max="43" width="21.6640625" customWidth="1"/>
    <col min="44" max="44" width="16" customWidth="1"/>
    <col min="45" max="45" width="23.109375" customWidth="1"/>
    <col min="46" max="46" width="16.6640625" customWidth="1"/>
    <col min="48" max="48" width="16.6640625" customWidth="1"/>
    <col min="54" max="54" width="23.44140625" customWidth="1"/>
    <col min="55" max="55" width="16" customWidth="1"/>
    <col min="56" max="56" width="23.109375" customWidth="1"/>
  </cols>
  <sheetData>
    <row r="1" spans="1:55" ht="14.4" x14ac:dyDescent="0.25">
      <c r="A1" s="123" t="s">
        <v>279</v>
      </c>
      <c r="B1" s="566" t="s">
        <v>280</v>
      </c>
      <c r="C1" s="566" t="s">
        <v>281</v>
      </c>
      <c r="D1" s="122" t="s">
        <v>282</v>
      </c>
      <c r="E1" s="101" t="s">
        <v>280</v>
      </c>
      <c r="F1" s="101" t="s">
        <v>283</v>
      </c>
      <c r="G1" s="101" t="s">
        <v>284</v>
      </c>
      <c r="H1" s="552" t="s">
        <v>285</v>
      </c>
      <c r="I1" s="554" t="s">
        <v>280</v>
      </c>
      <c r="J1" s="556" t="s">
        <v>286</v>
      </c>
      <c r="K1" s="557" t="s">
        <v>287</v>
      </c>
      <c r="N1" s="67" t="s">
        <v>17</v>
      </c>
      <c r="O1" s="107">
        <v>2</v>
      </c>
      <c r="P1" s="122" t="s">
        <v>288</v>
      </c>
      <c r="Q1" s="568">
        <v>4</v>
      </c>
      <c r="R1" s="569" t="s">
        <v>289</v>
      </c>
      <c r="S1" s="573" t="s">
        <v>290</v>
      </c>
      <c r="T1" s="573" t="s">
        <v>291</v>
      </c>
      <c r="U1" s="104">
        <v>8</v>
      </c>
      <c r="V1" s="104">
        <v>9</v>
      </c>
      <c r="W1" s="107" t="s">
        <v>292</v>
      </c>
      <c r="X1" s="153" t="s">
        <v>293</v>
      </c>
      <c r="Y1" s="153">
        <v>46022</v>
      </c>
      <c r="AA1" s="67" t="s">
        <v>17</v>
      </c>
      <c r="AB1" s="67" t="s">
        <v>294</v>
      </c>
      <c r="AC1" s="153" t="s">
        <v>295</v>
      </c>
      <c r="AD1" s="153" t="s">
        <v>296</v>
      </c>
      <c r="AF1" s="190" t="s">
        <v>297</v>
      </c>
      <c r="AG1" s="721" t="s">
        <v>298</v>
      </c>
      <c r="AH1" s="734">
        <v>45834</v>
      </c>
      <c r="AI1" s="754" t="s">
        <v>299</v>
      </c>
      <c r="AJ1" s="754" t="s">
        <v>300</v>
      </c>
      <c r="AO1" s="632" t="s">
        <v>1187</v>
      </c>
      <c r="AP1" s="67" t="s">
        <v>1176</v>
      </c>
      <c r="AQ1" s="67" t="s">
        <v>1177</v>
      </c>
      <c r="BB1" s="1163" t="str">
        <f>'LIQUIDACIÓN-GASTOS'!AF2</f>
        <v/>
      </c>
      <c r="BC1" s="578" t="str">
        <f>IF(OR(BB1=AX2,BB1=AX4,BB1=AX5),"NORMATIVA",IF(BB1=AX6,"BORRADOR",IF(FORMULARIO!W19="DGP-PIDI-2024","EXPERIMENTALLINEA2","")))</f>
        <v/>
      </c>
    </row>
    <row r="2" spans="1:55" ht="15" x14ac:dyDescent="0.25">
      <c r="A2" s="106" t="s">
        <v>178</v>
      </c>
      <c r="B2" s="566"/>
      <c r="C2" s="566"/>
      <c r="D2" s="101" t="s">
        <v>189</v>
      </c>
      <c r="E2" s="101"/>
      <c r="F2" s="101"/>
      <c r="G2" s="101"/>
      <c r="H2" s="549" t="s">
        <v>189</v>
      </c>
      <c r="I2" s="554"/>
      <c r="J2" s="549"/>
      <c r="K2" s="549"/>
      <c r="N2" s="714" t="s">
        <v>34</v>
      </c>
      <c r="O2" s="107" t="s">
        <v>301</v>
      </c>
      <c r="P2" s="729" t="e">
        <f>IF(#REF!=$AF$2,20.41,IF(#REF!=$AF$1,23.67,""))</f>
        <v>#REF!</v>
      </c>
      <c r="Q2" s="570" t="s">
        <v>302</v>
      </c>
      <c r="R2" s="571" t="e">
        <f>IF(#REF!=$AF$2,40.82,IF(#REF!=$AF$1,53.34,""))</f>
        <v>#REF!</v>
      </c>
      <c r="S2" s="574" t="s">
        <v>303</v>
      </c>
      <c r="T2" s="577">
        <v>26.67</v>
      </c>
      <c r="U2" s="581" t="str">
        <f>IF($AG$2&lt;$AH$1,$AF$2,IF($AG$2&gt;$AH$1,$AF$1,""))</f>
        <v xml:space="preserve">Instrucción 3/2025, de 23/06 de la Gerencia de la US </v>
      </c>
      <c r="V2" s="104"/>
      <c r="W2" s="580" t="e">
        <f>IF(#REF!=$AF$2,90,IF(#REF!=$AF$1,130,""))</f>
        <v>#REF!</v>
      </c>
      <c r="X2" s="729">
        <v>50</v>
      </c>
      <c r="Y2" s="729">
        <v>65</v>
      </c>
      <c r="Z2" s="165" t="s">
        <v>304</v>
      </c>
      <c r="AA2" s="714" t="s">
        <v>34</v>
      </c>
      <c r="AB2" s="714" t="s">
        <v>34</v>
      </c>
      <c r="AC2" s="543">
        <v>50</v>
      </c>
      <c r="AD2" s="543">
        <v>65</v>
      </c>
      <c r="AF2" t="s">
        <v>305</v>
      </c>
      <c r="AG2" s="720" t="str">
        <f>IF(FORMULARIO!C54&lt;&gt;"",FORMULARIO!C54,IF(AND(FORMULARIO!C54="",FORMULARIO!C69&lt;&gt;""),FORMULARIO!C69,""))</f>
        <v/>
      </c>
      <c r="AH2" s="67" t="s">
        <v>306</v>
      </c>
      <c r="AI2" s="770" t="s">
        <v>307</v>
      </c>
      <c r="AJ2" s="104" t="s">
        <v>177</v>
      </c>
      <c r="AO2" s="106" t="s">
        <v>178</v>
      </c>
      <c r="AP2" s="621" t="s">
        <v>178</v>
      </c>
      <c r="AQ2" s="106" t="s">
        <v>178</v>
      </c>
      <c r="AR2" s="785" t="s">
        <v>1173</v>
      </c>
      <c r="AS2" t="s">
        <v>1174</v>
      </c>
      <c r="AT2" s="165" t="s">
        <v>1175</v>
      </c>
      <c r="AU2" s="104"/>
      <c r="AV2" s="104"/>
      <c r="AX2" s="190" t="s">
        <v>297</v>
      </c>
      <c r="BC2" s="104" t="s">
        <v>189</v>
      </c>
    </row>
    <row r="3" spans="1:55" ht="14.4" x14ac:dyDescent="0.3">
      <c r="A3" s="105" t="s">
        <v>180</v>
      </c>
      <c r="B3" s="566">
        <v>142.04</v>
      </c>
      <c r="C3" s="566">
        <v>63.63</v>
      </c>
      <c r="D3" s="101" t="s">
        <v>180</v>
      </c>
      <c r="E3" s="101">
        <v>132.82</v>
      </c>
      <c r="F3" s="102">
        <v>59.5</v>
      </c>
      <c r="G3" s="103">
        <f>F3/2</f>
        <v>29.75</v>
      </c>
      <c r="H3" s="553" t="s">
        <v>308</v>
      </c>
      <c r="I3" s="555">
        <v>155.66</v>
      </c>
      <c r="J3" s="550">
        <v>68.52</v>
      </c>
      <c r="K3" s="550">
        <f>J3/2</f>
        <v>34.26</v>
      </c>
      <c r="L3" s="558"/>
      <c r="N3" s="714" t="s">
        <v>35</v>
      </c>
      <c r="O3" s="101" t="s">
        <v>301</v>
      </c>
      <c r="P3" s="730" t="e">
        <f>IF(#REF!=$AF$2,20.89,IF(#REF!=$AF$1,23.67,""))</f>
        <v>#REF!</v>
      </c>
      <c r="Q3" s="570" t="s">
        <v>309</v>
      </c>
      <c r="R3" s="571" t="e">
        <f>IF(#REF!=$AF$2,41.78,IF(#REF!=$AF$1,53.34,""))</f>
        <v>#REF!</v>
      </c>
      <c r="S3" s="574" t="s">
        <v>303</v>
      </c>
      <c r="T3" s="164">
        <v>26.67</v>
      </c>
      <c r="U3" s="581" t="str">
        <f t="shared" ref="U3:U17" si="0">IF($AG$2&lt;$AH$1,$AF$2,IF($AG$2&gt;$AH$1,$AF$1,""))</f>
        <v xml:space="preserve">Instrucción 3/2025, de 23/06 de la Gerencia de la US </v>
      </c>
      <c r="V3" s="580">
        <v>23.67</v>
      </c>
      <c r="W3" s="580" t="e">
        <f>IF(#REF!=$AF$2,120,IF(#REF!=$AF$1,150,""))</f>
        <v>#REF!</v>
      </c>
      <c r="X3" s="729">
        <v>50</v>
      </c>
      <c r="Y3" s="730">
        <v>65</v>
      </c>
      <c r="Z3" s="165" t="s">
        <v>304</v>
      </c>
      <c r="AA3" s="714" t="s">
        <v>35</v>
      </c>
      <c r="AB3" s="714" t="s">
        <v>35</v>
      </c>
      <c r="AC3" s="543">
        <v>50</v>
      </c>
      <c r="AD3" s="543">
        <v>65</v>
      </c>
      <c r="AF3" s="552" t="s">
        <v>310</v>
      </c>
      <c r="AI3" s="770" t="s">
        <v>311</v>
      </c>
      <c r="AJ3" s="104" t="s">
        <v>177</v>
      </c>
      <c r="AO3" s="1152" t="s">
        <v>180</v>
      </c>
      <c r="AP3" s="770" t="s">
        <v>307</v>
      </c>
      <c r="AQ3" s="1169" t="s">
        <v>1183</v>
      </c>
      <c r="AT3" s="104">
        <v>71.67</v>
      </c>
      <c r="AU3" s="165" t="s">
        <v>1168</v>
      </c>
      <c r="AV3" s="165" t="s">
        <v>195</v>
      </c>
      <c r="AX3" s="67" t="s">
        <v>1182</v>
      </c>
    </row>
    <row r="4" spans="1:55" ht="13.8" x14ac:dyDescent="0.25">
      <c r="A4" s="105" t="s">
        <v>181</v>
      </c>
      <c r="B4" s="566">
        <v>50.13</v>
      </c>
      <c r="C4" s="566">
        <v>40.49</v>
      </c>
      <c r="D4" s="101" t="s">
        <v>181</v>
      </c>
      <c r="E4" s="101">
        <v>46.88</v>
      </c>
      <c r="F4" s="102">
        <v>37.86</v>
      </c>
      <c r="G4" s="103">
        <f t="shared" ref="G4:G66" si="1">F4/2</f>
        <v>18.93</v>
      </c>
      <c r="H4" s="553" t="s">
        <v>312</v>
      </c>
      <c r="I4" s="555">
        <v>54.69</v>
      </c>
      <c r="J4" s="550">
        <v>44.47</v>
      </c>
      <c r="K4" s="550">
        <f t="shared" ref="K4:K67" si="2">J4/2</f>
        <v>22.24</v>
      </c>
      <c r="L4" s="558"/>
      <c r="N4" s="714" t="s">
        <v>38</v>
      </c>
      <c r="O4" s="101" t="s">
        <v>301</v>
      </c>
      <c r="P4" s="729" t="e">
        <f>IF(#REF!=$AF$2,20.41,IF(#REF!=$AF$1,23.67,""))</f>
        <v>#REF!</v>
      </c>
      <c r="Q4" s="570" t="s">
        <v>309</v>
      </c>
      <c r="R4" s="571" t="e">
        <f>IF(#REF!=$AF$2,40.82,IF(#REF!=$AF$1,53.34,""))</f>
        <v>#REF!</v>
      </c>
      <c r="S4" s="574" t="s">
        <v>303</v>
      </c>
      <c r="T4" s="164">
        <v>26.67</v>
      </c>
      <c r="U4" s="581" t="str">
        <f t="shared" si="0"/>
        <v xml:space="preserve">Instrucción 3/2025, de 23/06 de la Gerencia de la US </v>
      </c>
      <c r="V4" s="104"/>
      <c r="W4" s="580" t="e">
        <f>IF(#REF!=$AF$2,90,IF(#REF!=$AF$1,130,""))</f>
        <v>#REF!</v>
      </c>
      <c r="X4" s="729">
        <v>50</v>
      </c>
      <c r="Y4" s="730">
        <v>65</v>
      </c>
      <c r="Z4" s="165" t="s">
        <v>304</v>
      </c>
      <c r="AA4" s="714" t="s">
        <v>38</v>
      </c>
      <c r="AB4" s="714" t="s">
        <v>38</v>
      </c>
      <c r="AC4" s="543">
        <v>50</v>
      </c>
      <c r="AD4" s="543">
        <v>65</v>
      </c>
      <c r="AF4" s="723" t="s">
        <v>313</v>
      </c>
      <c r="AI4" s="581" t="s">
        <v>180</v>
      </c>
      <c r="AJ4" s="104" t="s">
        <v>180</v>
      </c>
      <c r="AO4" s="1152" t="s">
        <v>181</v>
      </c>
      <c r="AP4" s="770" t="s">
        <v>311</v>
      </c>
      <c r="AQ4" s="785" t="s">
        <v>180</v>
      </c>
      <c r="AR4" s="785" t="s">
        <v>1168</v>
      </c>
      <c r="AS4" s="1162">
        <v>85.9</v>
      </c>
      <c r="AT4" s="104">
        <v>71.67</v>
      </c>
      <c r="AU4" s="165" t="s">
        <v>1169</v>
      </c>
      <c r="AV4" s="104" t="s">
        <v>271</v>
      </c>
      <c r="AX4" s="552" t="s">
        <v>310</v>
      </c>
    </row>
    <row r="5" spans="1:55" ht="13.8" x14ac:dyDescent="0.25">
      <c r="A5" s="105" t="s">
        <v>183</v>
      </c>
      <c r="B5" s="566">
        <v>144.61000000000001</v>
      </c>
      <c r="C5" s="566">
        <v>63.63</v>
      </c>
      <c r="D5" s="101" t="s">
        <v>183</v>
      </c>
      <c r="E5" s="101">
        <v>135.22999999999999</v>
      </c>
      <c r="F5" s="102">
        <v>59.5</v>
      </c>
      <c r="G5" s="103">
        <f t="shared" si="1"/>
        <v>29.75</v>
      </c>
      <c r="H5" s="553" t="s">
        <v>314</v>
      </c>
      <c r="I5" s="555">
        <v>158.66999999999999</v>
      </c>
      <c r="J5" s="550">
        <v>66.709999999999994</v>
      </c>
      <c r="K5" s="550">
        <f t="shared" si="2"/>
        <v>33.36</v>
      </c>
      <c r="L5" s="558"/>
      <c r="N5" s="714" t="s">
        <v>47</v>
      </c>
      <c r="O5" s="101" t="s">
        <v>301</v>
      </c>
      <c r="P5" s="730" t="e">
        <f>IF(#REF!=$AF$2,20.89,IF(#REF!=$AF$1,23.67,""))</f>
        <v>#REF!</v>
      </c>
      <c r="Q5" s="570" t="s">
        <v>309</v>
      </c>
      <c r="R5" s="571" t="e">
        <f>IF(#REF!=$AF$2,41.78,IF(#REF!=$AF$1,53.34,""))</f>
        <v>#REF!</v>
      </c>
      <c r="S5" s="574" t="s">
        <v>303</v>
      </c>
      <c r="T5" s="164">
        <v>26.67</v>
      </c>
      <c r="U5" s="581" t="str">
        <f t="shared" si="0"/>
        <v xml:space="preserve">Instrucción 3/2025, de 23/06 de la Gerencia de la US </v>
      </c>
      <c r="V5" s="104"/>
      <c r="W5" s="580" t="e">
        <f>IF(#REF!=$AF$2,120,IF(#REF!=$AF$1,150,""))</f>
        <v>#REF!</v>
      </c>
      <c r="X5" s="751">
        <v>50</v>
      </c>
      <c r="Y5" s="730">
        <v>65</v>
      </c>
      <c r="Z5" s="165" t="s">
        <v>304</v>
      </c>
      <c r="AA5" s="714" t="s">
        <v>47</v>
      </c>
      <c r="AB5" s="714" t="s">
        <v>47</v>
      </c>
      <c r="AC5" s="580">
        <v>50</v>
      </c>
      <c r="AD5" s="580">
        <v>65</v>
      </c>
      <c r="AF5" s="493" t="s">
        <v>1176</v>
      </c>
      <c r="AG5" s="789">
        <v>48213</v>
      </c>
      <c r="AI5" s="581" t="s">
        <v>181</v>
      </c>
      <c r="AJ5" s="104" t="s">
        <v>181</v>
      </c>
      <c r="AO5" s="1152" t="s">
        <v>183</v>
      </c>
      <c r="AP5" s="581" t="s">
        <v>180</v>
      </c>
      <c r="AQ5" s="785" t="s">
        <v>184</v>
      </c>
      <c r="AR5" s="785" t="s">
        <v>1169</v>
      </c>
      <c r="AS5" s="1162">
        <v>78.3</v>
      </c>
      <c r="AT5" s="104">
        <v>71.67</v>
      </c>
      <c r="AU5" s="165" t="s">
        <v>1170</v>
      </c>
      <c r="AV5" s="165" t="s">
        <v>206</v>
      </c>
      <c r="AX5" s="723" t="s">
        <v>313</v>
      </c>
    </row>
    <row r="6" spans="1:55" ht="14.4" thickBot="1" x14ac:dyDescent="0.3">
      <c r="A6" s="105" t="s">
        <v>184</v>
      </c>
      <c r="B6" s="566">
        <v>79.05</v>
      </c>
      <c r="C6" s="566">
        <v>57.84</v>
      </c>
      <c r="D6" s="101" t="s">
        <v>184</v>
      </c>
      <c r="E6" s="101">
        <v>73.92</v>
      </c>
      <c r="F6" s="102">
        <v>54.09</v>
      </c>
      <c r="G6" s="103">
        <f t="shared" si="1"/>
        <v>27.05</v>
      </c>
      <c r="H6" s="553" t="s">
        <v>316</v>
      </c>
      <c r="I6" s="555">
        <v>86.55</v>
      </c>
      <c r="J6" s="550">
        <v>60.7</v>
      </c>
      <c r="K6" s="550">
        <f t="shared" si="2"/>
        <v>30.35</v>
      </c>
      <c r="L6" s="558"/>
      <c r="N6" s="714" t="s">
        <v>40</v>
      </c>
      <c r="O6" s="107" t="s">
        <v>301</v>
      </c>
      <c r="P6" s="729" t="e">
        <f>IF(#REF!=$AF$2,20.41,IF(#REF!=$AF$1,23.67,""))</f>
        <v>#REF!</v>
      </c>
      <c r="Q6" s="570" t="s">
        <v>309</v>
      </c>
      <c r="R6" s="571" t="e">
        <f>IF(#REF!=$AF$2,40.82,IF(#REF!=$AF$1,53.34,""))</f>
        <v>#REF!</v>
      </c>
      <c r="S6" s="574" t="s">
        <v>303</v>
      </c>
      <c r="T6" s="164">
        <v>26.67</v>
      </c>
      <c r="U6" s="581" t="str">
        <f t="shared" si="0"/>
        <v xml:space="preserve">Instrucción 3/2025, de 23/06 de la Gerencia de la US </v>
      </c>
      <c r="V6" s="104"/>
      <c r="W6" s="580" t="e">
        <f>IF(#REF!=$AF$2,90,IF(#REF!=$AF$1,130,""))</f>
        <v>#REF!</v>
      </c>
      <c r="X6" s="153"/>
      <c r="Y6" s="153"/>
      <c r="Z6" s="165" t="s">
        <v>304</v>
      </c>
      <c r="AA6" s="714" t="s">
        <v>40</v>
      </c>
      <c r="AB6" s="714" t="s">
        <v>40</v>
      </c>
      <c r="AC6" s="580">
        <v>50</v>
      </c>
      <c r="AD6" s="580">
        <v>65</v>
      </c>
      <c r="AI6" s="581" t="s">
        <v>183</v>
      </c>
      <c r="AJ6" s="104" t="s">
        <v>183</v>
      </c>
      <c r="AO6" s="1152" t="s">
        <v>184</v>
      </c>
      <c r="AP6" s="581" t="s">
        <v>181</v>
      </c>
      <c r="AQ6" s="785" t="s">
        <v>187</v>
      </c>
      <c r="AR6" s="785" t="s">
        <v>1170</v>
      </c>
      <c r="AS6" s="1162">
        <v>81.77</v>
      </c>
      <c r="AT6" s="104">
        <v>72.069999999999993</v>
      </c>
      <c r="AU6" s="165" t="s">
        <v>1172</v>
      </c>
      <c r="AV6" s="165" t="s">
        <v>251</v>
      </c>
      <c r="AX6" s="493" t="s">
        <v>1176</v>
      </c>
    </row>
    <row r="7" spans="1:55" ht="13.8" x14ac:dyDescent="0.25">
      <c r="A7" s="105" t="s">
        <v>185</v>
      </c>
      <c r="B7" s="566">
        <v>108.62</v>
      </c>
      <c r="C7" s="566">
        <v>47.56</v>
      </c>
      <c r="D7" s="101" t="s">
        <v>185</v>
      </c>
      <c r="E7" s="101">
        <v>101.57</v>
      </c>
      <c r="F7" s="102">
        <v>44.47</v>
      </c>
      <c r="G7" s="103">
        <f t="shared" si="1"/>
        <v>22.24</v>
      </c>
      <c r="H7" s="553" t="s">
        <v>317</v>
      </c>
      <c r="I7" s="555">
        <v>119</v>
      </c>
      <c r="J7" s="550">
        <v>51.09</v>
      </c>
      <c r="K7" s="550">
        <f t="shared" si="2"/>
        <v>25.55</v>
      </c>
      <c r="L7" s="558"/>
      <c r="M7">
        <v>30</v>
      </c>
      <c r="N7" s="738" t="s">
        <v>41</v>
      </c>
      <c r="O7" s="739" t="s">
        <v>301</v>
      </c>
      <c r="P7" s="732" t="e">
        <f>IF(#REF!=$AF$2,20.89,IF(#REF!=$AF$1,23.67,""))</f>
        <v>#REF!</v>
      </c>
      <c r="Q7" s="740" t="s">
        <v>309</v>
      </c>
      <c r="R7" s="741" t="e">
        <f>IF(#REF!=$AF$2,41.78,IF(#REF!=$AF$1,53.34,""))</f>
        <v>#REF!</v>
      </c>
      <c r="S7" s="588" t="s">
        <v>303</v>
      </c>
      <c r="T7" s="725">
        <v>26.67</v>
      </c>
      <c r="U7" s="581" t="str">
        <f t="shared" si="0"/>
        <v xml:space="preserve">Instrucción 3/2025, de 23/06 de la Gerencia de la US </v>
      </c>
      <c r="V7" s="560"/>
      <c r="W7" s="742" t="e">
        <f>IF(#REF!=$AF$2,120,IF(#REF!=$AF$1,150,""))</f>
        <v>#REF!</v>
      </c>
      <c r="X7" s="153"/>
      <c r="Y7" s="153"/>
      <c r="Z7" s="165" t="s">
        <v>304</v>
      </c>
      <c r="AA7" s="714" t="s">
        <v>41</v>
      </c>
      <c r="AB7" s="714" t="s">
        <v>41</v>
      </c>
      <c r="AC7" s="580">
        <v>50</v>
      </c>
      <c r="AD7" s="580">
        <v>65</v>
      </c>
      <c r="AF7" s="824" t="str">
        <f>IF($AG$2&gt;$AG$5,$AF$5,"")</f>
        <v>BORRADOR</v>
      </c>
      <c r="AG7" s="67" t="s">
        <v>1176</v>
      </c>
      <c r="AI7" s="581" t="s">
        <v>184</v>
      </c>
      <c r="AJ7" s="104" t="s">
        <v>184</v>
      </c>
      <c r="AO7" s="1152" t="s">
        <v>185</v>
      </c>
      <c r="AP7" s="581" t="s">
        <v>183</v>
      </c>
      <c r="AQ7" s="785" t="s">
        <v>1167</v>
      </c>
      <c r="AR7" s="785" t="s">
        <v>1172</v>
      </c>
      <c r="AS7" s="1162">
        <v>76.3</v>
      </c>
      <c r="AT7" s="104">
        <v>72.069999999999993</v>
      </c>
      <c r="AU7" s="165" t="s">
        <v>1171</v>
      </c>
      <c r="AV7" s="165" t="s">
        <v>272</v>
      </c>
    </row>
    <row r="8" spans="1:55" ht="13.8" x14ac:dyDescent="0.25">
      <c r="A8" s="105" t="s">
        <v>187</v>
      </c>
      <c r="B8" s="566">
        <v>118.91</v>
      </c>
      <c r="C8" s="566">
        <v>59.13</v>
      </c>
      <c r="D8" s="101" t="s">
        <v>187</v>
      </c>
      <c r="E8" s="101">
        <v>111.19</v>
      </c>
      <c r="F8" s="102">
        <v>55.29</v>
      </c>
      <c r="G8" s="103">
        <f t="shared" si="1"/>
        <v>27.65</v>
      </c>
      <c r="H8" s="553" t="s">
        <v>318</v>
      </c>
      <c r="I8" s="555">
        <v>130.41999999999999</v>
      </c>
      <c r="J8" s="550">
        <v>64.91</v>
      </c>
      <c r="K8" s="550">
        <f t="shared" si="2"/>
        <v>32.46</v>
      </c>
      <c r="L8" s="558"/>
      <c r="M8">
        <v>35</v>
      </c>
      <c r="N8" s="106" t="s">
        <v>51</v>
      </c>
      <c r="O8" s="736" t="s">
        <v>301</v>
      </c>
      <c r="P8" s="729" t="e">
        <f>IF(#REF!=$AF$2,20.41,IF(#REF!=$AF$1,23.67,""))</f>
        <v>#REF!</v>
      </c>
      <c r="Q8" s="736" t="s">
        <v>302</v>
      </c>
      <c r="R8" s="729" t="e">
        <f>IF(#REF!=$AF$2,40.82,IF(#REF!=$AF$1,53.34,""))</f>
        <v>#REF!</v>
      </c>
      <c r="S8" s="106" t="s">
        <v>303</v>
      </c>
      <c r="T8" s="737">
        <v>26.67</v>
      </c>
      <c r="U8" s="581" t="str">
        <f t="shared" si="0"/>
        <v xml:space="preserve">Instrucción 3/2025, de 23/06 de la Gerencia de la US </v>
      </c>
      <c r="V8" s="736"/>
      <c r="W8" s="730" t="e">
        <f>IF(#REF!=$AF$2,90,IF(#REF!=$AF$1,130,""))</f>
        <v>#REF!</v>
      </c>
      <c r="X8" s="729">
        <v>50</v>
      </c>
      <c r="Y8" s="729">
        <v>65</v>
      </c>
      <c r="Z8" s="165" t="s">
        <v>304</v>
      </c>
      <c r="AA8" s="714" t="s">
        <v>51</v>
      </c>
      <c r="AB8" s="714" t="s">
        <v>51</v>
      </c>
      <c r="AC8" s="580">
        <v>50</v>
      </c>
      <c r="AD8" s="580">
        <v>65</v>
      </c>
      <c r="AF8" s="795" t="e">
        <f>VLOOKUP(#REF!,A210:C387,3,0)</f>
        <v>#REF!</v>
      </c>
      <c r="AG8" s="67" t="s">
        <v>319</v>
      </c>
      <c r="AI8" s="581" t="s">
        <v>185</v>
      </c>
      <c r="AJ8" s="104" t="s">
        <v>185</v>
      </c>
      <c r="AO8" s="1152" t="s">
        <v>187</v>
      </c>
      <c r="AP8" s="581" t="s">
        <v>184</v>
      </c>
      <c r="AQ8" s="1156" t="s">
        <v>190</v>
      </c>
      <c r="AR8" s="785" t="s">
        <v>1168</v>
      </c>
      <c r="AS8" s="1162">
        <v>79.83</v>
      </c>
      <c r="AX8" t="b">
        <f>IF(BB1=AX5,"NORMATIVAS")</f>
        <v>0</v>
      </c>
    </row>
    <row r="9" spans="1:55" ht="13.8" x14ac:dyDescent="0.25">
      <c r="A9" s="105" t="s">
        <v>188</v>
      </c>
      <c r="B9" s="566">
        <v>86.77</v>
      </c>
      <c r="C9" s="566">
        <v>54.64</v>
      </c>
      <c r="D9" s="101" t="s">
        <v>188</v>
      </c>
      <c r="E9" s="101">
        <v>81.14</v>
      </c>
      <c r="F9" s="102">
        <v>51.09</v>
      </c>
      <c r="G9" s="103">
        <f t="shared" si="1"/>
        <v>25.55</v>
      </c>
      <c r="H9" s="553" t="s">
        <v>320</v>
      </c>
      <c r="I9" s="555">
        <v>94.96</v>
      </c>
      <c r="J9" s="550">
        <v>57.1</v>
      </c>
      <c r="K9" s="550">
        <f t="shared" si="2"/>
        <v>28.55</v>
      </c>
      <c r="L9" s="558"/>
      <c r="N9" s="106" t="s">
        <v>52</v>
      </c>
      <c r="O9" s="105" t="s">
        <v>301</v>
      </c>
      <c r="P9" s="730" t="e">
        <f>IF(#REF!=$AF$2,20.89,IF(#REF!=$AF$1,23.67,""))</f>
        <v>#REF!</v>
      </c>
      <c r="Q9" s="106" t="s">
        <v>309</v>
      </c>
      <c r="R9" s="729" t="e">
        <f>IF(#REF!=$AF$2,41.78,IF(#REF!=$AF$1,53.34,""))</f>
        <v>#REF!</v>
      </c>
      <c r="S9" s="106" t="s">
        <v>303</v>
      </c>
      <c r="T9" s="729">
        <v>26.67</v>
      </c>
      <c r="U9" s="581" t="str">
        <f t="shared" si="0"/>
        <v xml:space="preserve">Instrucción 3/2025, de 23/06 de la Gerencia de la US </v>
      </c>
      <c r="V9" s="105"/>
      <c r="W9" s="730" t="e">
        <f>IF(#REF!=$AF$2,120,IF(#REF!=$AF$1,150,""))</f>
        <v>#REF!</v>
      </c>
      <c r="X9" s="729">
        <v>50</v>
      </c>
      <c r="Y9" s="729">
        <v>65</v>
      </c>
      <c r="Z9" s="165" t="s">
        <v>304</v>
      </c>
      <c r="AA9" s="714" t="s">
        <v>52</v>
      </c>
      <c r="AB9" s="714" t="s">
        <v>52</v>
      </c>
      <c r="AC9" s="580">
        <v>50</v>
      </c>
      <c r="AD9" s="580">
        <v>65</v>
      </c>
      <c r="AF9" s="790"/>
      <c r="AG9" s="67" t="s">
        <v>321</v>
      </c>
      <c r="AI9" s="581" t="s">
        <v>187</v>
      </c>
      <c r="AJ9" s="104" t="s">
        <v>187</v>
      </c>
      <c r="AO9" s="1152" t="s">
        <v>188</v>
      </c>
      <c r="AP9" s="581" t="s">
        <v>185</v>
      </c>
      <c r="AQ9" s="1156" t="s">
        <v>191</v>
      </c>
      <c r="AR9" s="785" t="s">
        <v>1168</v>
      </c>
      <c r="AS9" s="1155">
        <v>92.17</v>
      </c>
      <c r="AT9" s="67" t="s">
        <v>1178</v>
      </c>
    </row>
    <row r="10" spans="1:55" ht="13.8" x14ac:dyDescent="0.25">
      <c r="A10" s="105" t="s">
        <v>190</v>
      </c>
      <c r="B10" s="566">
        <v>102.19</v>
      </c>
      <c r="C10" s="566">
        <v>62.99</v>
      </c>
      <c r="D10" s="101" t="s">
        <v>190</v>
      </c>
      <c r="E10" s="101">
        <v>95.56</v>
      </c>
      <c r="F10" s="102">
        <v>58.9</v>
      </c>
      <c r="G10" s="103">
        <f t="shared" si="1"/>
        <v>29.45</v>
      </c>
      <c r="H10" s="553" t="s">
        <v>322</v>
      </c>
      <c r="I10" s="555">
        <v>112.39</v>
      </c>
      <c r="J10" s="550">
        <v>66.11</v>
      </c>
      <c r="K10" s="550">
        <f t="shared" si="2"/>
        <v>33.06</v>
      </c>
      <c r="L10" s="558"/>
      <c r="N10" s="743" t="s">
        <v>59</v>
      </c>
      <c r="O10" s="744" t="s">
        <v>301</v>
      </c>
      <c r="P10" s="745" t="e">
        <f>IF(#REF!=$AF$2,20.41,IF(#REF!=$AF$1,23.67,""))</f>
        <v>#REF!</v>
      </c>
      <c r="Q10" s="746" t="s">
        <v>309</v>
      </c>
      <c r="R10" s="747" t="e">
        <f>IF(#REF!=$AF$2,40.82,IF(#REF!=$AF$1,53.34,""))</f>
        <v>#REF!</v>
      </c>
      <c r="S10" s="748" t="s">
        <v>303</v>
      </c>
      <c r="T10" s="684">
        <v>26.67</v>
      </c>
      <c r="U10" s="581" t="str">
        <f t="shared" si="0"/>
        <v xml:space="preserve">Instrucción 3/2025, de 23/06 de la Gerencia de la US </v>
      </c>
      <c r="V10" s="749">
        <v>45839</v>
      </c>
      <c r="W10" s="750" t="e">
        <f>IF(#REF!=$AF$2,90,IF(#REF!=$AF$1,130,""))</f>
        <v>#REF!</v>
      </c>
      <c r="X10" s="153"/>
      <c r="AA10" s="106" t="s">
        <v>45</v>
      </c>
      <c r="AB10" s="106" t="s">
        <v>45</v>
      </c>
      <c r="AC10" s="580">
        <v>50</v>
      </c>
      <c r="AD10" s="580">
        <v>65</v>
      </c>
      <c r="AF10" s="790"/>
      <c r="AI10" s="770" t="s">
        <v>323</v>
      </c>
      <c r="AJ10" s="104" t="s">
        <v>177</v>
      </c>
      <c r="AO10" s="1152" t="s">
        <v>190</v>
      </c>
      <c r="AP10" s="581" t="s">
        <v>187</v>
      </c>
      <c r="AQ10" s="1156" t="s">
        <v>194</v>
      </c>
      <c r="AR10" s="785" t="s">
        <v>1170</v>
      </c>
      <c r="AS10" s="1155">
        <v>88.33</v>
      </c>
    </row>
    <row r="11" spans="1:55" ht="13.8" x14ac:dyDescent="0.25">
      <c r="A11" s="105" t="s">
        <v>191</v>
      </c>
      <c r="B11" s="566">
        <v>158.75</v>
      </c>
      <c r="C11" s="566">
        <v>88.7</v>
      </c>
      <c r="D11" s="101" t="s">
        <v>191</v>
      </c>
      <c r="E11" s="101">
        <v>148.44999999999999</v>
      </c>
      <c r="F11" s="102">
        <v>82.94</v>
      </c>
      <c r="G11" s="103">
        <f t="shared" si="1"/>
        <v>41.47</v>
      </c>
      <c r="H11" s="553" t="s">
        <v>1192</v>
      </c>
      <c r="I11" s="555">
        <v>174.29</v>
      </c>
      <c r="J11" s="550">
        <v>91.35</v>
      </c>
      <c r="K11" s="550">
        <f t="shared" si="2"/>
        <v>45.68</v>
      </c>
      <c r="L11" s="558"/>
      <c r="N11" s="711" t="s">
        <v>60</v>
      </c>
      <c r="O11" s="101" t="s">
        <v>301</v>
      </c>
      <c r="P11" s="729" t="e">
        <f>IF(#REF!=$AF$2,20.89,IF(#REF!=$AF$1,23.67,""))</f>
        <v>#REF!</v>
      </c>
      <c r="Q11" s="570" t="s">
        <v>309</v>
      </c>
      <c r="R11" s="571" t="e">
        <f>IF(#REF!=$AF$2,41.78,IF(#REF!=$AF$1,53.34,""))</f>
        <v>#REF!</v>
      </c>
      <c r="S11" s="574" t="s">
        <v>303</v>
      </c>
      <c r="T11" s="164">
        <v>26.67</v>
      </c>
      <c r="U11" s="581" t="str">
        <f t="shared" si="0"/>
        <v xml:space="preserve">Instrucción 3/2025, de 23/06 de la Gerencia de la US </v>
      </c>
      <c r="V11" s="572" t="s">
        <v>324</v>
      </c>
      <c r="W11" s="580" t="e">
        <f>IF(#REF!=$AF$2,120,IF(#REF!=$AF$1,150,""))</f>
        <v>#REF!</v>
      </c>
      <c r="X11" s="153"/>
      <c r="AA11" s="106" t="s">
        <v>46</v>
      </c>
      <c r="AB11" s="106" t="s">
        <v>46</v>
      </c>
      <c r="AC11" s="580">
        <v>50</v>
      </c>
      <c r="AD11" s="580">
        <v>65</v>
      </c>
      <c r="AF11" s="790"/>
      <c r="AI11" s="581" t="s">
        <v>188</v>
      </c>
      <c r="AJ11" s="104" t="s">
        <v>188</v>
      </c>
      <c r="AO11" s="1152" t="s">
        <v>191</v>
      </c>
      <c r="AP11" s="770" t="s">
        <v>323</v>
      </c>
      <c r="AQ11" s="1156" t="s">
        <v>195</v>
      </c>
      <c r="AR11" s="785" t="s">
        <v>1168</v>
      </c>
      <c r="AS11" s="1155">
        <v>71.67</v>
      </c>
      <c r="AT11" s="67" t="s">
        <v>1183</v>
      </c>
    </row>
    <row r="12" spans="1:55" ht="13.8" x14ac:dyDescent="0.25">
      <c r="A12" s="105" t="s">
        <v>192</v>
      </c>
      <c r="B12" s="566">
        <v>54.64</v>
      </c>
      <c r="C12" s="566">
        <v>39.200000000000003</v>
      </c>
      <c r="D12" s="101" t="s">
        <v>192</v>
      </c>
      <c r="E12" s="101">
        <v>51.09</v>
      </c>
      <c r="F12" s="102">
        <v>36.659999999999997</v>
      </c>
      <c r="G12" s="103">
        <f t="shared" si="1"/>
        <v>18.329999999999998</v>
      </c>
      <c r="H12" s="553" t="s">
        <v>325</v>
      </c>
      <c r="I12" s="555">
        <v>60.1</v>
      </c>
      <c r="J12" s="550">
        <v>42.67</v>
      </c>
      <c r="K12" s="550">
        <f t="shared" si="2"/>
        <v>21.34</v>
      </c>
      <c r="L12" s="558"/>
      <c r="N12" s="711" t="s">
        <v>63</v>
      </c>
      <c r="O12" s="107" t="s">
        <v>301</v>
      </c>
      <c r="P12" s="729" t="e">
        <f>IF(#REF!=$AF$2,20.41,IF(#REF!=$AF$1,23.67,""))</f>
        <v>#REF!</v>
      </c>
      <c r="Q12" s="570" t="s">
        <v>309</v>
      </c>
      <c r="R12" s="571" t="e">
        <f>IF(#REF!=$AF$2,40.82,IF(#REF!=$AF$1,53.34,""))</f>
        <v>#REF!</v>
      </c>
      <c r="S12" s="574" t="s">
        <v>303</v>
      </c>
      <c r="T12" s="164">
        <v>26.67</v>
      </c>
      <c r="U12" s="581" t="str">
        <f t="shared" si="0"/>
        <v xml:space="preserve">Instrucción 3/2025, de 23/06 de la Gerencia de la US </v>
      </c>
      <c r="V12" s="572" t="s">
        <v>326</v>
      </c>
      <c r="W12" s="580" t="e">
        <f>IF(#REF!=$AF$2,90,IF(#REF!=$AF$1,130,""))</f>
        <v>#REF!</v>
      </c>
      <c r="X12" s="153"/>
      <c r="Y12" s="153"/>
      <c r="AA12" s="711" t="s">
        <v>59</v>
      </c>
      <c r="AB12" s="711" t="s">
        <v>118</v>
      </c>
      <c r="AC12" s="580">
        <v>50</v>
      </c>
      <c r="AD12" s="580">
        <v>65</v>
      </c>
      <c r="AF12" s="790"/>
      <c r="AI12" s="581" t="s">
        <v>190</v>
      </c>
      <c r="AJ12" s="104" t="s">
        <v>190</v>
      </c>
      <c r="AO12" s="1152" t="s">
        <v>192</v>
      </c>
      <c r="AP12" s="165" t="s">
        <v>188</v>
      </c>
      <c r="AQ12" s="1156" t="s">
        <v>364</v>
      </c>
      <c r="AR12" s="785" t="s">
        <v>1170</v>
      </c>
      <c r="AS12" s="1155">
        <v>78.5</v>
      </c>
    </row>
    <row r="13" spans="1:55" ht="13.8" x14ac:dyDescent="0.25">
      <c r="A13" s="105" t="s">
        <v>193</v>
      </c>
      <c r="B13" s="566">
        <v>77.77</v>
      </c>
      <c r="C13" s="566">
        <v>53.34</v>
      </c>
      <c r="D13" s="101" t="s">
        <v>193</v>
      </c>
      <c r="E13" s="101">
        <v>72.72</v>
      </c>
      <c r="F13" s="102">
        <v>49.88</v>
      </c>
      <c r="G13" s="103">
        <f t="shared" si="1"/>
        <v>24.94</v>
      </c>
      <c r="H13" s="553" t="s">
        <v>327</v>
      </c>
      <c r="I13" s="555">
        <v>85.34</v>
      </c>
      <c r="J13" s="550">
        <v>57.7</v>
      </c>
      <c r="K13" s="550">
        <f t="shared" si="2"/>
        <v>28.85</v>
      </c>
      <c r="L13" s="558"/>
      <c r="M13">
        <v>37</v>
      </c>
      <c r="N13" s="711" t="s">
        <v>64</v>
      </c>
      <c r="O13" s="107" t="s">
        <v>301</v>
      </c>
      <c r="P13" s="730" t="e">
        <f>IF(#REF!=$AF$2,20.89,IF(#REF!=$AF$1,23.67,""))</f>
        <v>#REF!</v>
      </c>
      <c r="Q13" s="570" t="s">
        <v>309</v>
      </c>
      <c r="R13" s="571" t="e">
        <f>IF(#REF!=$AF$2,41.78,IF(#REF!=$AF$1,53.34,""))</f>
        <v>#REF!</v>
      </c>
      <c r="S13" s="574" t="s">
        <v>303</v>
      </c>
      <c r="T13" s="164">
        <v>26.67</v>
      </c>
      <c r="U13" s="581" t="str">
        <f t="shared" si="0"/>
        <v xml:space="preserve">Instrucción 3/2025, de 23/06 de la Gerencia de la US </v>
      </c>
      <c r="W13" s="580" t="e">
        <f>IF(#REF!=$AF$2,120,IF(#REF!=$AF$1,150,""))</f>
        <v>#REF!</v>
      </c>
      <c r="X13" s="153"/>
      <c r="Y13" s="153"/>
      <c r="AA13" s="711" t="s">
        <v>60</v>
      </c>
      <c r="AB13" s="711" t="s">
        <v>119</v>
      </c>
      <c r="AC13" s="580">
        <v>50</v>
      </c>
      <c r="AD13" s="580">
        <v>65</v>
      </c>
      <c r="AF13" s="790"/>
      <c r="AI13" s="770" t="s">
        <v>328</v>
      </c>
      <c r="AJ13" s="104" t="s">
        <v>177</v>
      </c>
      <c r="AO13" s="1152" t="s">
        <v>193</v>
      </c>
      <c r="AP13" s="165" t="s">
        <v>190</v>
      </c>
      <c r="AQ13" s="1156" t="s">
        <v>198</v>
      </c>
      <c r="AR13" s="1157" t="s">
        <v>1170</v>
      </c>
      <c r="AS13" s="1155">
        <v>79.569999999999993</v>
      </c>
    </row>
    <row r="14" spans="1:55" ht="13.8" x14ac:dyDescent="0.25">
      <c r="A14" s="105" t="s">
        <v>194</v>
      </c>
      <c r="B14" s="566">
        <v>136.9</v>
      </c>
      <c r="C14" s="566">
        <v>84.84</v>
      </c>
      <c r="D14" s="101" t="s">
        <v>194</v>
      </c>
      <c r="E14" s="101">
        <v>128.02000000000001</v>
      </c>
      <c r="F14" s="102">
        <v>79.33</v>
      </c>
      <c r="G14" s="103">
        <f t="shared" si="1"/>
        <v>39.67</v>
      </c>
      <c r="H14" s="553" t="s">
        <v>329</v>
      </c>
      <c r="I14" s="555">
        <v>150.25</v>
      </c>
      <c r="J14" s="550">
        <v>91.35</v>
      </c>
      <c r="K14" s="550">
        <f t="shared" si="2"/>
        <v>45.68</v>
      </c>
      <c r="L14" s="558"/>
      <c r="M14">
        <v>37</v>
      </c>
      <c r="N14" s="711" t="s">
        <v>68</v>
      </c>
      <c r="O14" s="107" t="s">
        <v>301</v>
      </c>
      <c r="P14" s="729" t="e">
        <f>IF(#REF!=$AF$2,20.41,IF(#REF!=$AF$1,23.67,""))</f>
        <v>#REF!</v>
      </c>
      <c r="Q14" s="570" t="s">
        <v>309</v>
      </c>
      <c r="R14" s="571" t="e">
        <f>IF(#REF!=$AF$2,40.82,IF(#REF!=$AF$1,53.34,""))</f>
        <v>#REF!</v>
      </c>
      <c r="S14" s="574" t="s">
        <v>303</v>
      </c>
      <c r="T14" s="164">
        <v>26.67</v>
      </c>
      <c r="U14" s="581" t="str">
        <f t="shared" si="0"/>
        <v xml:space="preserve">Instrucción 3/2025, de 23/06 de la Gerencia de la US </v>
      </c>
      <c r="W14" s="580" t="e">
        <f>IF(#REF!=$AF$2,90,IF(#REF!=$AF$1,130,""))</f>
        <v>#REF!</v>
      </c>
      <c r="X14" s="153"/>
      <c r="Y14" s="153"/>
      <c r="AA14" s="711" t="s">
        <v>63</v>
      </c>
      <c r="AB14" s="711" t="s">
        <v>110</v>
      </c>
      <c r="AC14" s="580">
        <v>50</v>
      </c>
      <c r="AD14" s="580">
        <v>65</v>
      </c>
      <c r="AF14" s="790"/>
      <c r="AI14" s="770" t="s">
        <v>330</v>
      </c>
      <c r="AJ14" s="104" t="s">
        <v>177</v>
      </c>
      <c r="AO14" s="1152" t="s">
        <v>194</v>
      </c>
      <c r="AP14" s="770" t="s">
        <v>328</v>
      </c>
      <c r="AQ14" s="1156" t="s">
        <v>199</v>
      </c>
      <c r="AR14" s="1157" t="s">
        <v>1169</v>
      </c>
      <c r="AS14" s="1155">
        <v>73.97</v>
      </c>
    </row>
    <row r="15" spans="1:55" ht="14.4" thickBot="1" x14ac:dyDescent="0.3">
      <c r="A15" s="105" t="s">
        <v>195</v>
      </c>
      <c r="B15" s="566">
        <v>57.2</v>
      </c>
      <c r="C15" s="566">
        <v>40.49</v>
      </c>
      <c r="D15" s="101" t="s">
        <v>195</v>
      </c>
      <c r="E15" s="101">
        <v>53.49</v>
      </c>
      <c r="F15" s="102">
        <v>37.86</v>
      </c>
      <c r="G15" s="103">
        <f t="shared" si="1"/>
        <v>18.93</v>
      </c>
      <c r="H15" s="553" t="s">
        <v>331</v>
      </c>
      <c r="I15" s="555">
        <v>62.51</v>
      </c>
      <c r="J15" s="550">
        <v>44.47</v>
      </c>
      <c r="K15" s="550">
        <f t="shared" si="2"/>
        <v>22.24</v>
      </c>
      <c r="L15" s="558"/>
      <c r="M15">
        <v>37</v>
      </c>
      <c r="N15" s="711" t="s">
        <v>69</v>
      </c>
      <c r="O15" s="107" t="s">
        <v>301</v>
      </c>
      <c r="P15" s="731" t="e">
        <f>IF(#REF!=$AF$2,20.89,IF(#REF!=$AF$1,23.67,""))</f>
        <v>#REF!</v>
      </c>
      <c r="Q15" s="570" t="s">
        <v>309</v>
      </c>
      <c r="R15" s="571" t="e">
        <f>IF(#REF!=$AF$2,41.78,IF(#REF!=$AF$1,53.34,""))</f>
        <v>#REF!</v>
      </c>
      <c r="S15" s="574" t="s">
        <v>303</v>
      </c>
      <c r="T15" s="164">
        <v>26.67</v>
      </c>
      <c r="U15" s="581" t="str">
        <f t="shared" si="0"/>
        <v xml:space="preserve">Instrucción 3/2025, de 23/06 de la Gerencia de la US </v>
      </c>
      <c r="W15" s="580" t="e">
        <f>IF(#REF!=$AF$2,120,IF(#REF!=$AF$1,150,""))</f>
        <v>#REF!</v>
      </c>
      <c r="X15" s="153"/>
      <c r="Y15" s="153"/>
      <c r="AA15" s="711" t="s">
        <v>64</v>
      </c>
      <c r="AB15" s="711" t="s">
        <v>111</v>
      </c>
      <c r="AC15" s="580">
        <v>50</v>
      </c>
      <c r="AD15" s="580">
        <v>65</v>
      </c>
      <c r="AF15" s="791"/>
      <c r="AI15" s="770" t="s">
        <v>332</v>
      </c>
      <c r="AJ15" s="104" t="s">
        <v>177</v>
      </c>
      <c r="AO15" s="1152" t="s">
        <v>195</v>
      </c>
      <c r="AP15" s="770" t="s">
        <v>330</v>
      </c>
      <c r="AQ15" s="770" t="s">
        <v>371</v>
      </c>
      <c r="AR15" s="1160" t="s">
        <v>1168</v>
      </c>
      <c r="AS15" s="1161">
        <v>72.430000000000007</v>
      </c>
    </row>
    <row r="16" spans="1:55" ht="13.8" x14ac:dyDescent="0.25">
      <c r="A16" s="105" t="s">
        <v>363</v>
      </c>
      <c r="B16" s="566">
        <v>94.48</v>
      </c>
      <c r="C16" s="566">
        <v>52.06</v>
      </c>
      <c r="D16" s="101" t="s">
        <v>363</v>
      </c>
      <c r="E16" s="101">
        <v>88.35</v>
      </c>
      <c r="F16" s="102">
        <v>48.68</v>
      </c>
      <c r="G16" s="103">
        <f t="shared" si="1"/>
        <v>24.34</v>
      </c>
      <c r="H16" s="553" t="s">
        <v>1193</v>
      </c>
      <c r="I16" s="555">
        <v>103.37</v>
      </c>
      <c r="J16" s="550">
        <v>55.29</v>
      </c>
      <c r="K16" s="550">
        <f t="shared" si="2"/>
        <v>27.65</v>
      </c>
      <c r="L16" s="558"/>
      <c r="M16">
        <v>37</v>
      </c>
      <c r="N16" s="711" t="s">
        <v>71</v>
      </c>
      <c r="O16" s="107" t="s">
        <v>301</v>
      </c>
      <c r="P16" s="729" t="e">
        <f>IF(#REF!=$AF$2,20.41,IF(#REF!=$AF$1,23.67,""))</f>
        <v>#REF!</v>
      </c>
      <c r="Q16" s="570" t="s">
        <v>309</v>
      </c>
      <c r="R16" s="571" t="e">
        <f>IF(#REF!=$AF$2,40.82,IF(#REF!=$AF$1,53.34,""))</f>
        <v>#REF!</v>
      </c>
      <c r="S16" s="574" t="s">
        <v>303</v>
      </c>
      <c r="T16" s="164">
        <v>26.67</v>
      </c>
      <c r="U16" s="581" t="str">
        <f t="shared" si="0"/>
        <v xml:space="preserve">Instrucción 3/2025, de 23/06 de la Gerencia de la US </v>
      </c>
      <c r="W16" s="580" t="e">
        <f>IF(#REF!=$AF$2,90,IF(#REF!=$AF$1,130,""))</f>
        <v>#REF!</v>
      </c>
      <c r="X16" s="153"/>
      <c r="Y16" s="153"/>
      <c r="AA16" s="711" t="s">
        <v>68</v>
      </c>
      <c r="AB16" s="712" t="s">
        <v>114</v>
      </c>
      <c r="AC16" s="580">
        <v>50</v>
      </c>
      <c r="AD16" s="580">
        <v>65</v>
      </c>
      <c r="AI16" s="770" t="s">
        <v>333</v>
      </c>
      <c r="AJ16" s="104" t="s">
        <v>177</v>
      </c>
      <c r="AO16" s="1152" t="s">
        <v>363</v>
      </c>
      <c r="AP16" s="770" t="s">
        <v>332</v>
      </c>
      <c r="AQ16" s="1156" t="s">
        <v>200</v>
      </c>
      <c r="AR16" s="1157" t="s">
        <v>1170</v>
      </c>
      <c r="AS16" s="1155">
        <v>87.47</v>
      </c>
    </row>
    <row r="17" spans="1:45" ht="13.8" x14ac:dyDescent="0.25">
      <c r="A17" s="105" t="s">
        <v>364</v>
      </c>
      <c r="B17" s="566">
        <v>100.91</v>
      </c>
      <c r="C17" s="566">
        <v>55.28</v>
      </c>
      <c r="D17" s="101" t="s">
        <v>364</v>
      </c>
      <c r="E17" s="101">
        <v>94.36</v>
      </c>
      <c r="F17" s="102">
        <v>51.69</v>
      </c>
      <c r="G17" s="103">
        <f t="shared" si="1"/>
        <v>25.85</v>
      </c>
      <c r="H17" s="553" t="s">
        <v>1194</v>
      </c>
      <c r="I17" s="555">
        <v>110.59</v>
      </c>
      <c r="J17" s="550">
        <v>58.3</v>
      </c>
      <c r="K17" s="550">
        <f t="shared" si="2"/>
        <v>29.15</v>
      </c>
      <c r="L17" s="558"/>
      <c r="M17">
        <v>37</v>
      </c>
      <c r="N17" s="711" t="s">
        <v>72</v>
      </c>
      <c r="O17" s="107" t="s">
        <v>301</v>
      </c>
      <c r="P17" s="730" t="e">
        <f>IF(#REF!=$AF$2,20.89,IF(#REF!=$AF$1,23.67,""))</f>
        <v>#REF!</v>
      </c>
      <c r="Q17" s="570" t="s">
        <v>309</v>
      </c>
      <c r="R17" s="571" t="e">
        <f>IF(#REF!=$AF$2,41.78,IF(#REF!=$AF$1,53.34,""))</f>
        <v>#REF!</v>
      </c>
      <c r="S17" s="574" t="s">
        <v>303</v>
      </c>
      <c r="T17" s="164">
        <v>26.67</v>
      </c>
      <c r="U17" s="581" t="str">
        <f t="shared" si="0"/>
        <v xml:space="preserve">Instrucción 3/2025, de 23/06 de la Gerencia de la US </v>
      </c>
      <c r="W17" s="580" t="e">
        <f>IF(#REF!=$AF$2,120,IF(#REF!=$AF$1,150,""))</f>
        <v>#REF!</v>
      </c>
      <c r="X17" s="153"/>
      <c r="Y17" s="153"/>
      <c r="AA17" s="711" t="s">
        <v>69</v>
      </c>
      <c r="AB17" s="713" t="s">
        <v>115</v>
      </c>
      <c r="AC17" s="580">
        <v>50</v>
      </c>
      <c r="AD17" s="580">
        <v>65</v>
      </c>
      <c r="AF17">
        <f>IF(OR(FORMULARIO!C54="",FORMULARIO!C69=""),FORMULARIO!C113)</f>
        <v>0</v>
      </c>
      <c r="AI17" s="770" t="s">
        <v>334</v>
      </c>
      <c r="AJ17" s="104" t="s">
        <v>177</v>
      </c>
      <c r="AO17" s="1152" t="s">
        <v>364</v>
      </c>
      <c r="AP17" s="770" t="s">
        <v>333</v>
      </c>
      <c r="AQ17" s="1156" t="s">
        <v>201</v>
      </c>
      <c r="AR17" s="785" t="s">
        <v>1169</v>
      </c>
      <c r="AS17" s="1155">
        <v>80.33</v>
      </c>
    </row>
    <row r="18" spans="1:45" ht="13.8" x14ac:dyDescent="0.25">
      <c r="A18" s="105" t="s">
        <v>198</v>
      </c>
      <c r="B18" s="566">
        <v>109.26</v>
      </c>
      <c r="C18" s="566">
        <v>53.99</v>
      </c>
      <c r="D18" s="101" t="s">
        <v>198</v>
      </c>
      <c r="E18" s="101">
        <v>102.17</v>
      </c>
      <c r="F18" s="102">
        <v>50.49</v>
      </c>
      <c r="G18" s="103">
        <f t="shared" si="1"/>
        <v>25.25</v>
      </c>
      <c r="H18" s="553" t="s">
        <v>335</v>
      </c>
      <c r="I18" s="555">
        <v>120.2</v>
      </c>
      <c r="J18" s="550">
        <v>57.7</v>
      </c>
      <c r="K18" s="550">
        <f t="shared" si="2"/>
        <v>28.85</v>
      </c>
      <c r="L18" s="558"/>
      <c r="M18">
        <v>37</v>
      </c>
      <c r="N18" s="715" t="s">
        <v>75</v>
      </c>
      <c r="O18" s="107" t="s">
        <v>301</v>
      </c>
      <c r="P18" s="727">
        <f>IF(AG2&gt;AG5,22.45,20.41)</f>
        <v>22.45</v>
      </c>
      <c r="Q18" s="559" t="s">
        <v>309</v>
      </c>
      <c r="R18" s="728">
        <f>IF(AG2&gt;AG5,44.9,40.82)</f>
        <v>44.9</v>
      </c>
      <c r="S18" s="559" t="s">
        <v>303</v>
      </c>
      <c r="T18" s="728">
        <v>26.67</v>
      </c>
      <c r="U18" s="552" t="str">
        <f>IF($AG$2&gt;$AG$5,$AF$5,"DECRETO DE DIETAS 54/1989")</f>
        <v>BORRADOR</v>
      </c>
      <c r="W18" s="728">
        <f>IF($AG$2&gt;$AG$5,96.73,64.27)</f>
        <v>96.73</v>
      </c>
      <c r="X18" s="153"/>
      <c r="Y18" s="153"/>
      <c r="AA18" s="711" t="s">
        <v>71</v>
      </c>
      <c r="AB18" s="714" t="s">
        <v>40</v>
      </c>
      <c r="AC18" s="580">
        <v>50</v>
      </c>
      <c r="AD18" s="580">
        <v>65</v>
      </c>
      <c r="AI18" s="581" t="s">
        <v>191</v>
      </c>
      <c r="AJ18" s="104" t="s">
        <v>336</v>
      </c>
      <c r="AO18" s="1152" t="s">
        <v>198</v>
      </c>
      <c r="AP18" s="770" t="s">
        <v>334</v>
      </c>
      <c r="AQ18" s="1156" t="s">
        <v>203</v>
      </c>
      <c r="AR18" s="785" t="s">
        <v>1170</v>
      </c>
      <c r="AS18" s="1155">
        <v>72.73</v>
      </c>
    </row>
    <row r="19" spans="1:45" ht="13.8" x14ac:dyDescent="0.25">
      <c r="A19" s="105" t="s">
        <v>199</v>
      </c>
      <c r="B19" s="566">
        <v>76.48</v>
      </c>
      <c r="C19" s="566">
        <v>49.49</v>
      </c>
      <c r="D19" s="101" t="s">
        <v>199</v>
      </c>
      <c r="E19" s="101">
        <v>71.52</v>
      </c>
      <c r="F19" s="102">
        <v>46.28</v>
      </c>
      <c r="G19" s="103">
        <f t="shared" si="1"/>
        <v>23.14</v>
      </c>
      <c r="H19" s="553" t="s">
        <v>337</v>
      </c>
      <c r="I19" s="555">
        <v>84.14</v>
      </c>
      <c r="J19" s="550">
        <v>51.69</v>
      </c>
      <c r="K19" s="550">
        <f t="shared" si="2"/>
        <v>25.85</v>
      </c>
      <c r="L19" s="558"/>
      <c r="M19">
        <v>3</v>
      </c>
      <c r="N19" s="715" t="s">
        <v>76</v>
      </c>
      <c r="O19" s="107" t="s">
        <v>301</v>
      </c>
      <c r="P19" s="728">
        <f>IF(AG2&gt;AG5,24.02,20.89)</f>
        <v>24.02</v>
      </c>
      <c r="Q19" s="559" t="s">
        <v>309</v>
      </c>
      <c r="R19" s="728">
        <f>IF(AG2&gt;AG5,48.05,41.78)</f>
        <v>48.05</v>
      </c>
      <c r="S19" s="559" t="s">
        <v>303</v>
      </c>
      <c r="T19" s="728">
        <v>26.67</v>
      </c>
      <c r="U19" s="552" t="str">
        <f>IF($AG$2&gt;$AG$5,$AF$5,"DECRETO DE DIETAS 54/1989")</f>
        <v>BORRADOR</v>
      </c>
      <c r="W19" s="728">
        <f>IF($AG$2&gt;$AG$5,149.44,96.41)</f>
        <v>149.44</v>
      </c>
      <c r="AA19" s="711" t="s">
        <v>72</v>
      </c>
      <c r="AB19" s="714" t="s">
        <v>41</v>
      </c>
      <c r="AC19" s="580">
        <v>50</v>
      </c>
      <c r="AD19" s="580">
        <v>65</v>
      </c>
      <c r="AI19" s="770" t="s">
        <v>338</v>
      </c>
      <c r="AJ19" s="104" t="s">
        <v>177</v>
      </c>
      <c r="AO19" s="1152" t="s">
        <v>199</v>
      </c>
      <c r="AP19" s="581" t="s">
        <v>191</v>
      </c>
      <c r="AQ19" s="1156" t="s">
        <v>204</v>
      </c>
      <c r="AR19" s="785" t="s">
        <v>1168</v>
      </c>
      <c r="AS19" s="1155">
        <v>74.73</v>
      </c>
    </row>
    <row r="20" spans="1:45" ht="13.8" x14ac:dyDescent="0.25">
      <c r="A20" s="105" t="s">
        <v>200</v>
      </c>
      <c r="B20" s="566">
        <v>132.4</v>
      </c>
      <c r="C20" s="566">
        <v>83.55</v>
      </c>
      <c r="D20" s="101" t="s">
        <v>200</v>
      </c>
      <c r="E20" s="101">
        <v>123.81</v>
      </c>
      <c r="F20" s="102">
        <v>78.13</v>
      </c>
      <c r="G20" s="103">
        <f t="shared" si="1"/>
        <v>39.07</v>
      </c>
      <c r="H20" s="553" t="s">
        <v>339</v>
      </c>
      <c r="I20" s="555">
        <v>145.44</v>
      </c>
      <c r="J20" s="550">
        <v>90.15</v>
      </c>
      <c r="K20" s="550">
        <f t="shared" si="2"/>
        <v>45.08</v>
      </c>
      <c r="L20" s="558"/>
      <c r="M20">
        <v>37</v>
      </c>
      <c r="N20" s="717" t="s">
        <v>79</v>
      </c>
      <c r="O20" s="107" t="s">
        <v>301</v>
      </c>
      <c r="P20" s="724">
        <v>18.7</v>
      </c>
      <c r="Q20" s="570" t="s">
        <v>302</v>
      </c>
      <c r="R20" s="575">
        <v>37.4</v>
      </c>
      <c r="S20" s="107" t="s">
        <v>340</v>
      </c>
      <c r="T20" s="494" t="s">
        <v>340</v>
      </c>
      <c r="U20" s="723" t="s">
        <v>313</v>
      </c>
      <c r="W20" s="575">
        <v>65.97</v>
      </c>
      <c r="AA20" s="715" t="s">
        <v>75</v>
      </c>
      <c r="AB20" s="714" t="s">
        <v>51</v>
      </c>
      <c r="AC20" s="580">
        <v>50</v>
      </c>
      <c r="AD20" s="580">
        <v>65</v>
      </c>
      <c r="AI20" s="770" t="s">
        <v>341</v>
      </c>
      <c r="AJ20" s="104" t="s">
        <v>177</v>
      </c>
      <c r="AO20" s="1152" t="s">
        <v>200</v>
      </c>
      <c r="AP20" s="770" t="s">
        <v>338</v>
      </c>
      <c r="AQ20" s="1156" t="s">
        <v>206</v>
      </c>
      <c r="AR20" s="785" t="s">
        <v>1170</v>
      </c>
      <c r="AS20" s="1155">
        <v>71.67</v>
      </c>
    </row>
    <row r="21" spans="1:45" ht="13.8" x14ac:dyDescent="0.25">
      <c r="A21" s="105" t="s">
        <v>201</v>
      </c>
      <c r="B21" s="566">
        <v>109.26</v>
      </c>
      <c r="C21" s="566">
        <v>59.13</v>
      </c>
      <c r="D21" s="101" t="s">
        <v>201</v>
      </c>
      <c r="E21" s="101">
        <v>102.17</v>
      </c>
      <c r="F21" s="102">
        <v>55.29</v>
      </c>
      <c r="G21" s="103">
        <f t="shared" si="1"/>
        <v>27.65</v>
      </c>
      <c r="H21" s="553" t="s">
        <v>342</v>
      </c>
      <c r="I21" s="555">
        <v>120.2</v>
      </c>
      <c r="J21" s="550">
        <v>62.51</v>
      </c>
      <c r="K21" s="550">
        <f t="shared" si="2"/>
        <v>31.26</v>
      </c>
      <c r="L21" s="558"/>
      <c r="M21">
        <v>37</v>
      </c>
      <c r="N21" s="711" t="s">
        <v>81</v>
      </c>
      <c r="O21" s="107" t="s">
        <v>301</v>
      </c>
      <c r="P21" s="729" t="e">
        <f>IF(#REF!=$AF$2,20.41,IF(#REF!=$AF$1,23.67,""))</f>
        <v>#REF!</v>
      </c>
      <c r="Q21" s="570" t="s">
        <v>309</v>
      </c>
      <c r="R21" s="571" t="e">
        <f>IF(#REF!=$AF$2,40.82,IF(#REF!=$AF$1,53.34,""))</f>
        <v>#REF!</v>
      </c>
      <c r="S21" s="574" t="s">
        <v>303</v>
      </c>
      <c r="T21" s="580">
        <v>26.67</v>
      </c>
      <c r="U21" s="581" t="str">
        <f>IF($AG$2&lt;$AH$1,$AF$2,IF($AG$2&gt;$AH$1,$AF$1,""))</f>
        <v xml:space="preserve">Instrucción 3/2025, de 23/06 de la Gerencia de la US </v>
      </c>
      <c r="W21" s="580" t="e">
        <f>IF(#REF!=$AF$2,90,IF(#REF!=$AF$1,130,""))</f>
        <v>#REF!</v>
      </c>
      <c r="AA21" s="715" t="s">
        <v>76</v>
      </c>
      <c r="AB21" s="714" t="s">
        <v>52</v>
      </c>
      <c r="AC21" s="580">
        <v>50</v>
      </c>
      <c r="AD21" s="580">
        <v>65</v>
      </c>
      <c r="AI21" s="770" t="s">
        <v>343</v>
      </c>
      <c r="AJ21" s="104" t="s">
        <v>177</v>
      </c>
      <c r="AO21" s="1152" t="s">
        <v>201</v>
      </c>
      <c r="AP21" s="770" t="s">
        <v>341</v>
      </c>
      <c r="AQ21" s="1156" t="s">
        <v>207</v>
      </c>
      <c r="AR21" s="785" t="s">
        <v>1168</v>
      </c>
      <c r="AS21" s="1155">
        <v>85.13</v>
      </c>
    </row>
    <row r="22" spans="1:45" ht="13.8" x14ac:dyDescent="0.25">
      <c r="A22" s="105" t="s">
        <v>202</v>
      </c>
      <c r="B22" s="566">
        <v>65.55</v>
      </c>
      <c r="C22" s="566">
        <v>52.7</v>
      </c>
      <c r="D22" s="101" t="s">
        <v>202</v>
      </c>
      <c r="E22" s="101">
        <v>61.3</v>
      </c>
      <c r="F22" s="102">
        <v>49.28</v>
      </c>
      <c r="G22" s="103">
        <f t="shared" si="1"/>
        <v>24.64</v>
      </c>
      <c r="H22" s="553" t="s">
        <v>344</v>
      </c>
      <c r="I22" s="555">
        <v>72.12</v>
      </c>
      <c r="J22" s="550">
        <v>52.29</v>
      </c>
      <c r="K22" s="550">
        <f t="shared" si="2"/>
        <v>26.15</v>
      </c>
      <c r="L22" s="558"/>
      <c r="M22">
        <v>37</v>
      </c>
      <c r="N22" s="713" t="s">
        <v>82</v>
      </c>
      <c r="O22" s="107" t="s">
        <v>301</v>
      </c>
      <c r="P22" s="730" t="e">
        <f>IF(#REF!=$AF$2,20.89,IF(#REF!=$AF$1,23.67,""))</f>
        <v>#REF!</v>
      </c>
      <c r="Q22" s="570" t="s">
        <v>309</v>
      </c>
      <c r="R22" s="580" t="e">
        <f>IF(#REF!=$AF$2,41.78,IF(#REF!=$AF$1,53.34,""))</f>
        <v>#REF!</v>
      </c>
      <c r="S22" s="574" t="s">
        <v>303</v>
      </c>
      <c r="T22" s="580">
        <v>26.67</v>
      </c>
      <c r="U22" s="581" t="str">
        <f t="shared" ref="U22" si="3">IF($AG$2&lt;$AH$1,$AF$2,IF($AG$2&gt;$AH$1,$AF$1,""))</f>
        <v xml:space="preserve">Instrucción 3/2025, de 23/06 de la Gerencia de la US </v>
      </c>
      <c r="W22" s="580" t="e">
        <f>IF(#REF!=$AF$2,120,IF(#REF!=$AF$1,150,""))</f>
        <v>#REF!</v>
      </c>
      <c r="AA22" s="715" t="s">
        <v>79</v>
      </c>
      <c r="AB22" s="165" t="s">
        <v>94</v>
      </c>
      <c r="AC22" s="580">
        <v>50</v>
      </c>
      <c r="AD22" s="580">
        <v>65</v>
      </c>
      <c r="AI22" s="581" t="s">
        <v>192</v>
      </c>
      <c r="AJ22" s="104" t="s">
        <v>192</v>
      </c>
      <c r="AO22" s="1152" t="s">
        <v>202</v>
      </c>
      <c r="AP22" s="770" t="s">
        <v>343</v>
      </c>
      <c r="AQ22" s="1156" t="s">
        <v>209</v>
      </c>
      <c r="AR22" s="785" t="s">
        <v>1171</v>
      </c>
      <c r="AS22" s="1155">
        <v>79.83</v>
      </c>
    </row>
    <row r="23" spans="1:45" ht="13.8" x14ac:dyDescent="0.25">
      <c r="A23" s="105" t="s">
        <v>203</v>
      </c>
      <c r="B23" s="566">
        <v>70.06</v>
      </c>
      <c r="C23" s="566">
        <v>47.56</v>
      </c>
      <c r="D23" s="101" t="s">
        <v>203</v>
      </c>
      <c r="E23" s="101">
        <v>65.510000000000005</v>
      </c>
      <c r="F23" s="102">
        <v>44.47</v>
      </c>
      <c r="G23" s="103">
        <f t="shared" si="1"/>
        <v>22.24</v>
      </c>
      <c r="H23" s="553" t="s">
        <v>345</v>
      </c>
      <c r="I23" s="555">
        <v>76.930000000000007</v>
      </c>
      <c r="J23" s="550">
        <v>57.7</v>
      </c>
      <c r="K23" s="550">
        <f t="shared" si="2"/>
        <v>28.85</v>
      </c>
      <c r="L23" s="558"/>
      <c r="M23">
        <v>37</v>
      </c>
      <c r="N23" s="716" t="s">
        <v>88</v>
      </c>
      <c r="O23" s="582" t="s">
        <v>301</v>
      </c>
      <c r="P23" s="719">
        <v>26.67</v>
      </c>
      <c r="Q23" s="582" t="s">
        <v>302</v>
      </c>
      <c r="R23" s="719">
        <v>53.34</v>
      </c>
      <c r="S23" s="582" t="s">
        <v>304</v>
      </c>
      <c r="T23" s="718">
        <v>0</v>
      </c>
      <c r="U23" s="582" t="s">
        <v>313</v>
      </c>
      <c r="V23" s="735"/>
      <c r="W23" s="719">
        <v>102.56</v>
      </c>
      <c r="AA23" s="711" t="s">
        <v>81</v>
      </c>
      <c r="AB23" s="165" t="s">
        <v>100</v>
      </c>
      <c r="AC23" s="580">
        <v>50</v>
      </c>
      <c r="AD23" s="580">
        <v>65</v>
      </c>
      <c r="AI23" s="581" t="s">
        <v>193</v>
      </c>
      <c r="AJ23" s="104" t="s">
        <v>193</v>
      </c>
      <c r="AO23" s="1152" t="s">
        <v>203</v>
      </c>
      <c r="AP23" s="165" t="s">
        <v>192</v>
      </c>
      <c r="AQ23" s="1156" t="s">
        <v>211</v>
      </c>
      <c r="AR23" s="785" t="s">
        <v>1169</v>
      </c>
      <c r="AS23" s="1155">
        <v>80.430000000000007</v>
      </c>
    </row>
    <row r="24" spans="1:45" ht="13.8" x14ac:dyDescent="0.25">
      <c r="A24" s="105" t="s">
        <v>204</v>
      </c>
      <c r="B24" s="566">
        <v>77.77</v>
      </c>
      <c r="C24" s="566">
        <v>53.34</v>
      </c>
      <c r="D24" s="101" t="s">
        <v>204</v>
      </c>
      <c r="E24" s="101">
        <v>72.72</v>
      </c>
      <c r="F24" s="102">
        <v>49.88</v>
      </c>
      <c r="G24" s="103">
        <f t="shared" si="1"/>
        <v>24.94</v>
      </c>
      <c r="H24" s="553" t="s">
        <v>346</v>
      </c>
      <c r="I24" s="555">
        <v>85.34</v>
      </c>
      <c r="J24" s="550">
        <v>38.46</v>
      </c>
      <c r="K24" s="550">
        <f t="shared" si="2"/>
        <v>19.23</v>
      </c>
      <c r="L24" s="558"/>
      <c r="M24">
        <v>37</v>
      </c>
      <c r="N24" s="716" t="s">
        <v>91</v>
      </c>
      <c r="O24" s="582" t="s">
        <v>301</v>
      </c>
      <c r="P24" s="722">
        <v>18.7</v>
      </c>
      <c r="Q24" s="582" t="s">
        <v>302</v>
      </c>
      <c r="R24" s="719">
        <v>37.4</v>
      </c>
      <c r="S24" s="582" t="s">
        <v>304</v>
      </c>
      <c r="T24" s="719">
        <v>0</v>
      </c>
      <c r="U24" s="582" t="s">
        <v>313</v>
      </c>
      <c r="V24" s="735"/>
      <c r="W24" s="719">
        <v>65.97</v>
      </c>
      <c r="AA24" s="713" t="s">
        <v>82</v>
      </c>
      <c r="AB24" s="810" t="s">
        <v>95</v>
      </c>
      <c r="AC24" s="580">
        <v>50</v>
      </c>
      <c r="AD24" s="710">
        <v>65</v>
      </c>
      <c r="AI24" s="770" t="s">
        <v>347</v>
      </c>
      <c r="AJ24" s="104" t="s">
        <v>177</v>
      </c>
      <c r="AO24" s="1152" t="s">
        <v>204</v>
      </c>
      <c r="AP24" s="165" t="s">
        <v>193</v>
      </c>
      <c r="AQ24" s="1156" t="s">
        <v>212</v>
      </c>
      <c r="AR24" s="785" t="s">
        <v>1168</v>
      </c>
      <c r="AS24" s="1155">
        <v>78.3</v>
      </c>
    </row>
    <row r="25" spans="1:45" x14ac:dyDescent="0.25">
      <c r="A25" s="105" t="s">
        <v>206</v>
      </c>
      <c r="B25" s="566">
        <v>60.42</v>
      </c>
      <c r="C25" s="566">
        <v>35.35</v>
      </c>
      <c r="D25" s="101" t="s">
        <v>206</v>
      </c>
      <c r="E25" s="101">
        <v>56.5</v>
      </c>
      <c r="F25" s="102">
        <v>33.06</v>
      </c>
      <c r="G25" s="103">
        <f t="shared" si="1"/>
        <v>16.53</v>
      </c>
      <c r="H25" s="559" t="s">
        <v>348</v>
      </c>
      <c r="I25" s="551">
        <v>66.11</v>
      </c>
      <c r="J25" s="550">
        <v>72.12</v>
      </c>
      <c r="K25" s="550">
        <f t="shared" si="2"/>
        <v>36.06</v>
      </c>
      <c r="L25" s="558"/>
      <c r="M25">
        <v>36</v>
      </c>
      <c r="N25" s="711" t="s">
        <v>118</v>
      </c>
      <c r="O25" s="107" t="s">
        <v>301</v>
      </c>
      <c r="P25" s="729" t="e">
        <f>IF(#REF!=$AF$2,20.41,IF(#REF!=$AF$1,23.67,""))</f>
        <v>#REF!</v>
      </c>
      <c r="Q25" s="570" t="s">
        <v>309</v>
      </c>
      <c r="R25" s="571" t="e">
        <f>IF(#REF!=$AF$2,40.82,IF(#REF!=$AF$1,53.34,""))</f>
        <v>#REF!</v>
      </c>
      <c r="S25" s="574" t="s">
        <v>303</v>
      </c>
      <c r="T25" s="580">
        <v>26.67</v>
      </c>
      <c r="U25" s="581" t="str">
        <f>IF($AG$2&lt;$AH$1,$AF$2,IF($AG$2&gt;$AH$1,$AF$1,""))</f>
        <v xml:space="preserve">Instrucción 3/2025, de 23/06 de la Gerencia de la US </v>
      </c>
      <c r="W25" s="580" t="e">
        <f>IF(#REF!=$AF$2,90,IF(#REF!=$AF$1,130,""))</f>
        <v>#REF!</v>
      </c>
      <c r="X25" s="730">
        <v>50</v>
      </c>
      <c r="Y25" s="730">
        <v>65</v>
      </c>
      <c r="AA25" s="716" t="s">
        <v>88</v>
      </c>
      <c r="AB25" s="165" t="s">
        <v>101</v>
      </c>
      <c r="AC25" s="580">
        <v>50</v>
      </c>
      <c r="AD25" s="710">
        <v>65</v>
      </c>
      <c r="AI25" s="581" t="s">
        <v>194</v>
      </c>
      <c r="AJ25" s="104" t="s">
        <v>194</v>
      </c>
      <c r="AO25" s="1152" t="s">
        <v>206</v>
      </c>
      <c r="AP25" s="770" t="s">
        <v>347</v>
      </c>
      <c r="AQ25" s="1158" t="s">
        <v>391</v>
      </c>
      <c r="AR25" s="1157" t="s">
        <v>1168</v>
      </c>
      <c r="AS25" s="1155">
        <v>74.17</v>
      </c>
    </row>
    <row r="26" spans="1:45" ht="13.8" x14ac:dyDescent="0.25">
      <c r="A26" s="105" t="s">
        <v>207</v>
      </c>
      <c r="B26" s="566">
        <v>131.12</v>
      </c>
      <c r="C26" s="566">
        <v>69.41</v>
      </c>
      <c r="D26" s="101" t="s">
        <v>207</v>
      </c>
      <c r="E26" s="101">
        <v>122.61</v>
      </c>
      <c r="F26" s="102">
        <v>64.91</v>
      </c>
      <c r="G26" s="103">
        <f t="shared" si="1"/>
        <v>32.46</v>
      </c>
      <c r="H26" s="553" t="s">
        <v>349</v>
      </c>
      <c r="I26" s="555">
        <v>144.24</v>
      </c>
      <c r="J26" s="550">
        <v>42.07</v>
      </c>
      <c r="K26" s="550">
        <f t="shared" si="2"/>
        <v>21.04</v>
      </c>
      <c r="L26" s="558"/>
      <c r="M26">
        <v>36</v>
      </c>
      <c r="N26" s="711" t="s">
        <v>119</v>
      </c>
      <c r="O26" s="107" t="s">
        <v>301</v>
      </c>
      <c r="P26" s="732" t="e">
        <f>IF(#REF!=$AF$2,20.89,IF(#REF!=$AF$1,23.67,""))</f>
        <v>#REF!</v>
      </c>
      <c r="Q26" s="570" t="s">
        <v>309</v>
      </c>
      <c r="R26" s="580" t="e">
        <f>IF(#REF!=$AF$2,41.78,IF(#REF!=$AF$1,53.34,""))</f>
        <v>#REF!</v>
      </c>
      <c r="S26" s="574" t="s">
        <v>303</v>
      </c>
      <c r="T26" s="580">
        <v>26.67</v>
      </c>
      <c r="U26" s="581" t="str">
        <f t="shared" ref="U26:U30" si="4">IF($AG$2&lt;$AH$1,$AF$2,IF($AG$2&gt;$AH$1,$AF$1,""))</f>
        <v xml:space="preserve">Instrucción 3/2025, de 23/06 de la Gerencia de la US </v>
      </c>
      <c r="W26" s="580" t="e">
        <f>IF(#REF!=$AF$2,120,IF(#REF!=$AF$1,150,""))</f>
        <v>#REF!</v>
      </c>
      <c r="X26" s="730">
        <v>50</v>
      </c>
      <c r="Y26" s="730">
        <v>65</v>
      </c>
      <c r="AA26" s="825" t="s">
        <v>91</v>
      </c>
      <c r="AB26" s="165" t="s">
        <v>350</v>
      </c>
      <c r="AC26" s="580">
        <v>50</v>
      </c>
      <c r="AD26" s="710">
        <v>65</v>
      </c>
      <c r="AI26" s="770" t="s">
        <v>351</v>
      </c>
      <c r="AJ26" s="104" t="s">
        <v>177</v>
      </c>
      <c r="AO26" s="1152" t="s">
        <v>207</v>
      </c>
      <c r="AP26" s="581" t="s">
        <v>194</v>
      </c>
      <c r="AQ26" s="1156" t="s">
        <v>213</v>
      </c>
      <c r="AR26" s="1157" t="s">
        <v>1170</v>
      </c>
      <c r="AS26" s="1155">
        <v>89.2</v>
      </c>
    </row>
    <row r="27" spans="1:45" ht="13.8" x14ac:dyDescent="0.25">
      <c r="A27" s="105" t="s">
        <v>208</v>
      </c>
      <c r="B27" s="566">
        <v>69.41</v>
      </c>
      <c r="C27" s="566">
        <v>46.24</v>
      </c>
      <c r="D27" s="101" t="s">
        <v>208</v>
      </c>
      <c r="E27" s="101">
        <v>64.91</v>
      </c>
      <c r="F27" s="102">
        <v>43.27</v>
      </c>
      <c r="G27" s="103">
        <f t="shared" si="1"/>
        <v>21.64</v>
      </c>
      <c r="H27" s="553" t="s">
        <v>352</v>
      </c>
      <c r="I27" s="555">
        <v>75.13</v>
      </c>
      <c r="J27" s="550">
        <v>50.49</v>
      </c>
      <c r="K27" s="550">
        <f t="shared" si="2"/>
        <v>25.25</v>
      </c>
      <c r="L27" s="558"/>
      <c r="M27">
        <v>36</v>
      </c>
      <c r="N27" s="711" t="s">
        <v>110</v>
      </c>
      <c r="O27" s="107" t="s">
        <v>301</v>
      </c>
      <c r="P27" s="729" t="e">
        <f>IF(#REF!=$AF$2,20.41,IF(#REF!=$AF$1,23.67,""))</f>
        <v>#REF!</v>
      </c>
      <c r="Q27" s="570" t="s">
        <v>309</v>
      </c>
      <c r="R27" s="571" t="e">
        <f>IF(#REF!=$AF$2,40.82,IF(#REF!=$AF$1,53.34,""))</f>
        <v>#REF!</v>
      </c>
      <c r="S27" s="574" t="s">
        <v>303</v>
      </c>
      <c r="T27" s="580">
        <v>26.67</v>
      </c>
      <c r="U27" s="581" t="str">
        <f t="shared" si="4"/>
        <v xml:space="preserve">Instrucción 3/2025, de 23/06 de la Gerencia de la US </v>
      </c>
      <c r="W27" s="580" t="e">
        <f>IF(#REF!=$AF$2,90,IF(#REF!=$AF$1,130,""))</f>
        <v>#REF!</v>
      </c>
      <c r="X27" s="730">
        <v>50</v>
      </c>
      <c r="Y27" s="730">
        <v>65</v>
      </c>
      <c r="AA27" s="826" t="s">
        <v>118</v>
      </c>
      <c r="AB27" s="165" t="s">
        <v>60</v>
      </c>
      <c r="AC27" s="580">
        <v>50</v>
      </c>
      <c r="AD27" s="710">
        <v>65</v>
      </c>
      <c r="AI27" s="581" t="s">
        <v>195</v>
      </c>
      <c r="AJ27" s="104" t="s">
        <v>195</v>
      </c>
      <c r="AO27" s="1152" t="s">
        <v>208</v>
      </c>
      <c r="AP27" s="770" t="s">
        <v>351</v>
      </c>
      <c r="AQ27" s="1158" t="s">
        <v>393</v>
      </c>
      <c r="AR27" s="785" t="s">
        <v>1168</v>
      </c>
      <c r="AS27" s="1155">
        <v>81.77</v>
      </c>
    </row>
    <row r="28" spans="1:45" ht="13.8" x14ac:dyDescent="0.25">
      <c r="A28" s="105" t="s">
        <v>209</v>
      </c>
      <c r="B28" s="566">
        <v>97.69</v>
      </c>
      <c r="C28" s="566">
        <v>41.78</v>
      </c>
      <c r="D28" s="101" t="s">
        <v>209</v>
      </c>
      <c r="E28" s="101">
        <v>91.35</v>
      </c>
      <c r="F28" s="102">
        <v>39.07</v>
      </c>
      <c r="G28" s="103">
        <f t="shared" si="1"/>
        <v>19.54</v>
      </c>
      <c r="H28" s="553" t="s">
        <v>353</v>
      </c>
      <c r="I28" s="555">
        <v>75.73</v>
      </c>
      <c r="J28" s="550">
        <v>44.47</v>
      </c>
      <c r="K28" s="550">
        <f t="shared" si="2"/>
        <v>22.24</v>
      </c>
      <c r="L28" s="558"/>
      <c r="M28">
        <v>30</v>
      </c>
      <c r="N28" s="711" t="s">
        <v>111</v>
      </c>
      <c r="O28" s="107" t="s">
        <v>301</v>
      </c>
      <c r="P28" s="732" t="e">
        <f>IF(#REF!=$AF$2,20.89,IF(#REF!=$AF$1,23.67,""))</f>
        <v>#REF!</v>
      </c>
      <c r="Q28" s="570" t="s">
        <v>309</v>
      </c>
      <c r="R28" s="580" t="e">
        <f>IF(#REF!=$AF$2,41.78,IF(#REF!=$AF$1,53.34,""))</f>
        <v>#REF!</v>
      </c>
      <c r="S28" s="574" t="s">
        <v>303</v>
      </c>
      <c r="T28" s="580">
        <v>26.67</v>
      </c>
      <c r="U28" s="581" t="str">
        <f t="shared" si="4"/>
        <v xml:space="preserve">Instrucción 3/2025, de 23/06 de la Gerencia de la US </v>
      </c>
      <c r="W28" s="580" t="e">
        <f>IF(#REF!=$AF$2,120,IF(#REF!=$AF$1,150,""))</f>
        <v>#REF!</v>
      </c>
      <c r="X28" s="730">
        <v>50</v>
      </c>
      <c r="Y28" s="730">
        <v>65</v>
      </c>
      <c r="AA28" s="711" t="s">
        <v>119</v>
      </c>
      <c r="AB28" s="711" t="s">
        <v>106</v>
      </c>
      <c r="AC28" s="580">
        <v>50</v>
      </c>
      <c r="AD28" s="710">
        <v>65</v>
      </c>
      <c r="AI28" s="770" t="s">
        <v>354</v>
      </c>
      <c r="AJ28" s="104" t="s">
        <v>177</v>
      </c>
      <c r="AO28" s="1152" t="s">
        <v>209</v>
      </c>
      <c r="AP28" s="581" t="s">
        <v>195</v>
      </c>
      <c r="AQ28" s="1156" t="s">
        <v>216</v>
      </c>
      <c r="AR28" s="785" t="s">
        <v>1168</v>
      </c>
      <c r="AS28" s="1155">
        <v>84</v>
      </c>
    </row>
    <row r="29" spans="1:45" ht="13.8" x14ac:dyDescent="0.25">
      <c r="A29" s="105" t="s">
        <v>210</v>
      </c>
      <c r="B29" s="566">
        <v>70.7</v>
      </c>
      <c r="C29" s="566">
        <v>46.27</v>
      </c>
      <c r="D29" s="101" t="s">
        <v>210</v>
      </c>
      <c r="E29" s="101">
        <v>66.11</v>
      </c>
      <c r="F29" s="102">
        <v>43.27</v>
      </c>
      <c r="G29" s="103">
        <f t="shared" si="1"/>
        <v>21.64</v>
      </c>
      <c r="H29" s="553" t="s">
        <v>355</v>
      </c>
      <c r="I29" s="555">
        <v>106.98</v>
      </c>
      <c r="J29" s="550">
        <v>50.49</v>
      </c>
      <c r="K29" s="550">
        <f t="shared" si="2"/>
        <v>25.25</v>
      </c>
      <c r="L29" s="558"/>
      <c r="M29">
        <v>30</v>
      </c>
      <c r="N29" s="713" t="s">
        <v>114</v>
      </c>
      <c r="O29" s="107" t="s">
        <v>301</v>
      </c>
      <c r="P29" s="729" t="e">
        <f>IF(#REF!=$AF$2,20.41,IF(#REF!=$AF$1,23.67,""))</f>
        <v>#REF!</v>
      </c>
      <c r="Q29" s="583" t="s">
        <v>309</v>
      </c>
      <c r="R29" s="571" t="e">
        <f>IF(#REF!=$AF$2,40.82,IF(#REF!=$AF$1,53.34,""))</f>
        <v>#REF!</v>
      </c>
      <c r="S29" s="574" t="s">
        <v>303</v>
      </c>
      <c r="T29" s="580">
        <v>26.67</v>
      </c>
      <c r="U29" s="581" t="str">
        <f t="shared" si="4"/>
        <v xml:space="preserve">Instrucción 3/2025, de 23/06 de la Gerencia de la US </v>
      </c>
      <c r="W29" s="580" t="e">
        <f>IF(#REF!=$AF$2,90,IF(#REF!=$AF$1,130,""))</f>
        <v>#REF!</v>
      </c>
      <c r="X29" s="730">
        <v>50</v>
      </c>
      <c r="Y29" s="730">
        <v>65</v>
      </c>
      <c r="AA29" s="711" t="s">
        <v>110</v>
      </c>
      <c r="AB29" s="1150" t="s">
        <v>107</v>
      </c>
      <c r="AC29" s="580">
        <v>50</v>
      </c>
      <c r="AD29" s="710">
        <v>65</v>
      </c>
      <c r="AI29" s="770" t="s">
        <v>356</v>
      </c>
      <c r="AJ29" s="104" t="s">
        <v>177</v>
      </c>
      <c r="AO29" s="1152" t="s">
        <v>210</v>
      </c>
      <c r="AP29" s="770" t="s">
        <v>354</v>
      </c>
      <c r="AQ29" s="1156" t="s">
        <v>217</v>
      </c>
      <c r="AR29" s="785" t="s">
        <v>1168</v>
      </c>
      <c r="AS29" s="1155">
        <v>85.23</v>
      </c>
    </row>
    <row r="30" spans="1:45" ht="13.8" x14ac:dyDescent="0.25">
      <c r="A30" s="105" t="s">
        <v>211</v>
      </c>
      <c r="B30" s="566">
        <v>108.62</v>
      </c>
      <c r="C30" s="566">
        <v>60.42</v>
      </c>
      <c r="D30" s="101" t="s">
        <v>211</v>
      </c>
      <c r="E30" s="101">
        <v>101.57</v>
      </c>
      <c r="F30" s="102">
        <v>56.5</v>
      </c>
      <c r="G30" s="103">
        <f t="shared" si="1"/>
        <v>28.25</v>
      </c>
      <c r="H30" s="553" t="s">
        <v>357</v>
      </c>
      <c r="I30" s="555">
        <v>77.53</v>
      </c>
      <c r="J30" s="550">
        <v>50.49</v>
      </c>
      <c r="K30" s="550">
        <f t="shared" si="2"/>
        <v>25.25</v>
      </c>
      <c r="L30" s="558"/>
      <c r="M30">
        <v>35</v>
      </c>
      <c r="N30" s="713" t="s">
        <v>115</v>
      </c>
      <c r="O30" s="107" t="s">
        <v>301</v>
      </c>
      <c r="P30" s="730" t="e">
        <f>IF(#REF!=$AF$2,20.89,IF(#REF!=$AF$1,23.67,""))</f>
        <v>#REF!</v>
      </c>
      <c r="Q30" s="583" t="s">
        <v>309</v>
      </c>
      <c r="R30" s="580" t="e">
        <f>IF(#REF!=$AF$2,41.78,IF(#REF!=$AF$1,53.34,""))</f>
        <v>#REF!</v>
      </c>
      <c r="S30" s="574" t="s">
        <v>303</v>
      </c>
      <c r="T30" s="580">
        <v>26.67</v>
      </c>
      <c r="U30" s="581" t="str">
        <f t="shared" si="4"/>
        <v xml:space="preserve">Instrucción 3/2025, de 23/06 de la Gerencia de la US </v>
      </c>
      <c r="W30" s="580" t="e">
        <f>IF(#REF!=$AF$2,120,IF(#REF!=$AF$1,150,""))</f>
        <v>#REF!</v>
      </c>
      <c r="AA30" s="826" t="s">
        <v>111</v>
      </c>
      <c r="AB30" s="165" t="s">
        <v>150</v>
      </c>
      <c r="AC30" s="580">
        <v>50</v>
      </c>
      <c r="AD30" s="710">
        <v>65</v>
      </c>
      <c r="AI30" s="770" t="s">
        <v>358</v>
      </c>
      <c r="AJ30" s="104" t="s">
        <v>177</v>
      </c>
      <c r="AO30" s="1152" t="s">
        <v>211</v>
      </c>
      <c r="AP30" s="770" t="s">
        <v>356</v>
      </c>
      <c r="AQ30" s="1156" t="s">
        <v>220</v>
      </c>
      <c r="AR30" s="785" t="s">
        <v>1168</v>
      </c>
      <c r="AS30" s="1155">
        <v>72.430000000000007</v>
      </c>
    </row>
    <row r="31" spans="1:45" ht="13.8" x14ac:dyDescent="0.25">
      <c r="A31" s="105" t="s">
        <v>212</v>
      </c>
      <c r="B31" s="566">
        <v>80.989999999999995</v>
      </c>
      <c r="C31" s="566">
        <v>46.27</v>
      </c>
      <c r="D31" s="101" t="s">
        <v>212</v>
      </c>
      <c r="E31" s="101">
        <v>75.73</v>
      </c>
      <c r="F31" s="102">
        <v>43.27</v>
      </c>
      <c r="G31" s="103">
        <f t="shared" si="1"/>
        <v>21.64</v>
      </c>
      <c r="H31" s="553" t="s">
        <v>1195</v>
      </c>
      <c r="I31" s="555">
        <v>119</v>
      </c>
      <c r="J31" s="550">
        <v>63.71</v>
      </c>
      <c r="K31" s="550">
        <f t="shared" si="2"/>
        <v>31.86</v>
      </c>
      <c r="L31" s="558"/>
      <c r="M31">
        <v>35</v>
      </c>
      <c r="N31" s="717" t="s">
        <v>123</v>
      </c>
      <c r="O31" s="107" t="s">
        <v>301</v>
      </c>
      <c r="P31" s="730">
        <v>18.7</v>
      </c>
      <c r="Q31" s="583" t="s">
        <v>302</v>
      </c>
      <c r="R31" s="575">
        <v>37.4</v>
      </c>
      <c r="S31" s="107" t="s">
        <v>304</v>
      </c>
      <c r="T31" s="494" t="s">
        <v>340</v>
      </c>
      <c r="U31" s="723" t="s">
        <v>313</v>
      </c>
      <c r="W31" s="575">
        <v>65.97</v>
      </c>
      <c r="AA31" s="1149" t="s">
        <v>114</v>
      </c>
      <c r="AB31" s="165" t="s">
        <v>151</v>
      </c>
      <c r="AC31" s="580">
        <v>50</v>
      </c>
      <c r="AD31" s="710">
        <v>65</v>
      </c>
      <c r="AI31" s="770" t="s">
        <v>359</v>
      </c>
      <c r="AJ31" s="755" t="s">
        <v>177</v>
      </c>
      <c r="AO31" s="1152" t="s">
        <v>212</v>
      </c>
      <c r="AP31" s="770" t="s">
        <v>358</v>
      </c>
      <c r="AQ31" s="1156" t="s">
        <v>226</v>
      </c>
      <c r="AR31" s="785" t="s">
        <v>1168</v>
      </c>
      <c r="AS31" s="1155">
        <v>81</v>
      </c>
    </row>
    <row r="32" spans="1:45" ht="13.8" x14ac:dyDescent="0.25">
      <c r="A32" s="105" t="s">
        <v>213</v>
      </c>
      <c r="B32" s="566">
        <v>152.97</v>
      </c>
      <c r="C32" s="566">
        <v>74.56</v>
      </c>
      <c r="D32" s="101" t="s">
        <v>213</v>
      </c>
      <c r="E32" s="101">
        <v>143.04</v>
      </c>
      <c r="F32" s="102">
        <v>69.72</v>
      </c>
      <c r="G32" s="103">
        <f t="shared" si="1"/>
        <v>34.86</v>
      </c>
      <c r="H32" s="553" t="s">
        <v>360</v>
      </c>
      <c r="I32" s="555">
        <v>88.95</v>
      </c>
      <c r="J32" s="550">
        <v>49.88</v>
      </c>
      <c r="K32" s="550">
        <f t="shared" si="2"/>
        <v>24.94</v>
      </c>
      <c r="L32" s="558"/>
      <c r="M32">
        <v>35</v>
      </c>
      <c r="N32" s="717" t="s">
        <v>126</v>
      </c>
      <c r="O32" s="107" t="s">
        <v>301</v>
      </c>
      <c r="P32" s="732">
        <v>18.7</v>
      </c>
      <c r="Q32" s="583" t="s">
        <v>302</v>
      </c>
      <c r="R32" s="726">
        <v>37.4</v>
      </c>
      <c r="S32" s="107" t="s">
        <v>304</v>
      </c>
      <c r="T32" s="494" t="s">
        <v>340</v>
      </c>
      <c r="U32" s="723" t="s">
        <v>313</v>
      </c>
      <c r="W32" s="575">
        <v>65.97</v>
      </c>
      <c r="AA32" s="713" t="s">
        <v>115</v>
      </c>
      <c r="AC32" s="580"/>
      <c r="AD32" s="710"/>
      <c r="AI32" s="770" t="s">
        <v>361</v>
      </c>
      <c r="AJ32" s="755" t="s">
        <v>177</v>
      </c>
      <c r="AO32" s="1152" t="s">
        <v>213</v>
      </c>
      <c r="AP32" s="770" t="s">
        <v>359</v>
      </c>
      <c r="AQ32" s="1156" t="s">
        <v>227</v>
      </c>
      <c r="AR32" s="785" t="s">
        <v>1169</v>
      </c>
      <c r="AS32" s="1155">
        <v>77.33</v>
      </c>
    </row>
    <row r="33" spans="1:45" ht="14.7" customHeight="1" x14ac:dyDescent="0.25">
      <c r="A33" s="105" t="s">
        <v>214</v>
      </c>
      <c r="B33" s="566">
        <v>127.9</v>
      </c>
      <c r="C33" s="566">
        <v>40.49</v>
      </c>
      <c r="D33" s="101" t="s">
        <v>214</v>
      </c>
      <c r="E33" s="101">
        <v>119.6</v>
      </c>
      <c r="F33" s="102">
        <v>37.86</v>
      </c>
      <c r="G33" s="103">
        <f t="shared" si="1"/>
        <v>18.93</v>
      </c>
      <c r="H33" s="553" t="s">
        <v>362</v>
      </c>
      <c r="I33" s="555">
        <v>168.28</v>
      </c>
      <c r="J33" s="550">
        <v>77.53</v>
      </c>
      <c r="K33" s="550">
        <f t="shared" si="2"/>
        <v>38.770000000000003</v>
      </c>
      <c r="L33" s="579"/>
      <c r="M33">
        <v>35</v>
      </c>
      <c r="N33" s="711" t="s">
        <v>129</v>
      </c>
      <c r="O33" s="107" t="s">
        <v>301</v>
      </c>
      <c r="P33" s="729" t="e">
        <f>IF(#REF!=$AF$2,20.41,IF(#REF!=$AF$1,23.67,""))</f>
        <v>#REF!</v>
      </c>
      <c r="Q33" s="583" t="s">
        <v>309</v>
      </c>
      <c r="R33" s="571" t="e">
        <f>IF(#REF!=$AF$2,40.82,IF(#REF!=$AF$1,53.34,""))</f>
        <v>#REF!</v>
      </c>
      <c r="S33" s="574" t="s">
        <v>303</v>
      </c>
      <c r="T33" s="580">
        <v>26.67</v>
      </c>
      <c r="U33" s="581" t="str">
        <f>IF($AG$2&lt;$AH$1,$AF$2,IF($AG$2&gt;$AH$1,$AF$1,""))</f>
        <v xml:space="preserve">Instrucción 3/2025, de 23/06 de la Gerencia de la US </v>
      </c>
      <c r="W33" s="580" t="e">
        <f>IF(#REF!=$AF$2,90,IF(#REF!=$AF$1,130,""))</f>
        <v>#REF!</v>
      </c>
      <c r="Z33" s="165" t="s">
        <v>304</v>
      </c>
      <c r="AA33" s="717" t="s">
        <v>123</v>
      </c>
      <c r="AC33" s="580"/>
      <c r="AD33" s="710"/>
      <c r="AI33" s="581" t="s">
        <v>363</v>
      </c>
      <c r="AJ33" s="104" t="s">
        <v>196</v>
      </c>
      <c r="AO33" s="1152" t="s">
        <v>214</v>
      </c>
      <c r="AP33" s="770" t="s">
        <v>361</v>
      </c>
      <c r="AQ33" s="1156" t="s">
        <v>230</v>
      </c>
      <c r="AR33" s="785" t="s">
        <v>1169</v>
      </c>
      <c r="AS33" s="1155">
        <v>81.77</v>
      </c>
    </row>
    <row r="34" spans="1:45" ht="13.8" x14ac:dyDescent="0.25">
      <c r="A34" s="105" t="s">
        <v>215</v>
      </c>
      <c r="B34" s="566">
        <v>76.48</v>
      </c>
      <c r="C34" s="566">
        <v>42.42</v>
      </c>
      <c r="D34" s="101" t="s">
        <v>215</v>
      </c>
      <c r="E34" s="101">
        <v>71.52</v>
      </c>
      <c r="F34" s="102">
        <v>39.67</v>
      </c>
      <c r="G34" s="103">
        <f t="shared" si="1"/>
        <v>19.84</v>
      </c>
      <c r="H34" s="553" t="s">
        <v>1196</v>
      </c>
      <c r="I34" s="555">
        <v>140.04</v>
      </c>
      <c r="J34" s="550">
        <v>43.87</v>
      </c>
      <c r="K34" s="550">
        <f t="shared" si="2"/>
        <v>21.94</v>
      </c>
      <c r="L34" s="579"/>
      <c r="M34">
        <v>35</v>
      </c>
      <c r="N34" s="711" t="s">
        <v>130</v>
      </c>
      <c r="O34" s="107" t="s">
        <v>301</v>
      </c>
      <c r="P34" s="732" t="e">
        <f>IF(#REF!=$AF$2,20.89,IF(#REF!=$AF$1,23.67,""))</f>
        <v>#REF!</v>
      </c>
      <c r="Q34" s="583" t="s">
        <v>309</v>
      </c>
      <c r="R34" s="584" t="e">
        <f>IF(#REF!=$AF$2,41.78,IF(#REF!=$AF$1,53.34,""))</f>
        <v>#REF!</v>
      </c>
      <c r="S34" s="574" t="s">
        <v>303</v>
      </c>
      <c r="T34" s="580">
        <v>26.67</v>
      </c>
      <c r="U34" s="581" t="str">
        <f t="shared" ref="U34:U51" si="5">IF($AG$2&lt;$AH$1,$AF$2,IF($AG$2&gt;$AH$1,$AF$1,""))</f>
        <v xml:space="preserve">Instrucción 3/2025, de 23/06 de la Gerencia de la US </v>
      </c>
      <c r="W34" s="580" t="e">
        <f>IF(#REF!=$AF$2,120,IF(#REF!=$AF$1,150,""))</f>
        <v>#REF!</v>
      </c>
      <c r="Z34" s="165" t="s">
        <v>304</v>
      </c>
      <c r="AA34" s="717" t="s">
        <v>126</v>
      </c>
      <c r="AC34" s="580"/>
      <c r="AD34" s="710"/>
      <c r="AI34" s="581" t="s">
        <v>364</v>
      </c>
      <c r="AJ34" s="104" t="s">
        <v>197</v>
      </c>
      <c r="AO34" s="1152" t="s">
        <v>215</v>
      </c>
      <c r="AP34" s="581" t="s">
        <v>363</v>
      </c>
      <c r="AQ34" s="1156" t="s">
        <v>231</v>
      </c>
      <c r="AR34" s="785" t="s">
        <v>1168</v>
      </c>
      <c r="AS34" s="1155">
        <v>77.73</v>
      </c>
    </row>
    <row r="35" spans="1:45" ht="13.8" x14ac:dyDescent="0.25">
      <c r="A35" s="105" t="s">
        <v>216</v>
      </c>
      <c r="B35" s="566">
        <v>122.76</v>
      </c>
      <c r="C35" s="566">
        <v>70.06</v>
      </c>
      <c r="D35" s="101" t="s">
        <v>216</v>
      </c>
      <c r="E35" s="101">
        <v>114.79</v>
      </c>
      <c r="F35" s="102">
        <v>65.510000000000005</v>
      </c>
      <c r="G35" s="103">
        <f t="shared" si="1"/>
        <v>32.76</v>
      </c>
      <c r="H35" s="553" t="s">
        <v>365</v>
      </c>
      <c r="I35" s="555">
        <v>84.14</v>
      </c>
      <c r="J35" s="550">
        <v>45.08</v>
      </c>
      <c r="K35" s="550">
        <f t="shared" si="2"/>
        <v>22.54</v>
      </c>
      <c r="L35" s="579"/>
      <c r="M35">
        <v>35</v>
      </c>
      <c r="N35" s="711" t="s">
        <v>134</v>
      </c>
      <c r="O35" s="586" t="s">
        <v>301</v>
      </c>
      <c r="P35" s="729" t="e">
        <f>IF(#REF!=$AF$2,20.41,IF(#REF!=$AF$1,23.67,""))</f>
        <v>#REF!</v>
      </c>
      <c r="Q35" s="587" t="s">
        <v>309</v>
      </c>
      <c r="R35" s="571" t="e">
        <f>IF(#REF!=$AF$2,40.82,IF(#REF!=$AF$1,53.34,""))</f>
        <v>#REF!</v>
      </c>
      <c r="S35" s="588" t="s">
        <v>303</v>
      </c>
      <c r="T35" s="580">
        <v>26.67</v>
      </c>
      <c r="U35" s="581" t="str">
        <f t="shared" si="5"/>
        <v xml:space="preserve">Instrucción 3/2025, de 23/06 de la Gerencia de la US </v>
      </c>
      <c r="W35" s="580" t="e">
        <f>IF(#REF!=$AF$2,90,IF(#REF!=$AF$1,130,""))</f>
        <v>#REF!</v>
      </c>
      <c r="Z35" s="165" t="s">
        <v>304</v>
      </c>
      <c r="AA35" s="711" t="s">
        <v>129</v>
      </c>
      <c r="AC35" s="580"/>
      <c r="AD35" s="710"/>
      <c r="AI35" s="770" t="s">
        <v>366</v>
      </c>
      <c r="AJ35" s="104" t="s">
        <v>177</v>
      </c>
      <c r="AO35" s="1152" t="s">
        <v>216</v>
      </c>
      <c r="AP35" s="581" t="s">
        <v>364</v>
      </c>
      <c r="AQ35" s="1156" t="s">
        <v>232</v>
      </c>
      <c r="AR35" s="785" t="s">
        <v>1169</v>
      </c>
      <c r="AS35" s="1155">
        <v>78.97</v>
      </c>
    </row>
    <row r="36" spans="1:45" ht="14.7" customHeight="1" x14ac:dyDescent="0.25">
      <c r="A36" s="105" t="s">
        <v>217</v>
      </c>
      <c r="B36" s="566">
        <v>131.12</v>
      </c>
      <c r="C36" s="566">
        <v>70.06</v>
      </c>
      <c r="D36" s="101" t="s">
        <v>217</v>
      </c>
      <c r="E36" s="101">
        <v>122.61</v>
      </c>
      <c r="F36" s="102">
        <v>65.510000000000005</v>
      </c>
      <c r="G36" s="103">
        <f t="shared" si="1"/>
        <v>32.76</v>
      </c>
      <c r="H36" s="553" t="s">
        <v>367</v>
      </c>
      <c r="I36" s="555">
        <v>134.63</v>
      </c>
      <c r="J36" s="550">
        <v>72.72</v>
      </c>
      <c r="K36" s="550">
        <f t="shared" si="2"/>
        <v>36.36</v>
      </c>
      <c r="L36" s="579"/>
      <c r="M36">
        <v>35</v>
      </c>
      <c r="N36" s="711" t="s">
        <v>135</v>
      </c>
      <c r="O36" s="107" t="s">
        <v>301</v>
      </c>
      <c r="P36" s="733" t="e">
        <f>IF(#REF!=$AF$2,20.89,IF(#REF!=$AF$1,23.67,""))</f>
        <v>#REF!</v>
      </c>
      <c r="Q36" s="570" t="s">
        <v>302</v>
      </c>
      <c r="R36" s="584" t="e">
        <f>IF(#REF!=$AF$2,41.78,IF(#REF!=$AF$1,53.34,""))</f>
        <v>#REF!</v>
      </c>
      <c r="S36" s="576" t="s">
        <v>303</v>
      </c>
      <c r="T36" s="580">
        <v>26.67</v>
      </c>
      <c r="U36" s="581" t="str">
        <f t="shared" si="5"/>
        <v xml:space="preserve">Instrucción 3/2025, de 23/06 de la Gerencia de la US </v>
      </c>
      <c r="V36" s="104"/>
      <c r="W36" s="580" t="e">
        <f>IF(#REF!=$AF$2,120,IF(#REF!=$AF$1,150,""))</f>
        <v>#REF!</v>
      </c>
      <c r="Z36" s="165" t="s">
        <v>304</v>
      </c>
      <c r="AA36" s="711" t="s">
        <v>130</v>
      </c>
      <c r="AC36" s="580"/>
      <c r="AD36" s="710"/>
      <c r="AI36" s="581" t="s">
        <v>198</v>
      </c>
      <c r="AJ36" s="104" t="s">
        <v>198</v>
      </c>
      <c r="AO36" s="1152" t="s">
        <v>217</v>
      </c>
      <c r="AP36" s="770" t="s">
        <v>366</v>
      </c>
      <c r="AQ36" s="1158" t="s">
        <v>424</v>
      </c>
      <c r="AR36" s="785" t="s">
        <v>1168</v>
      </c>
      <c r="AS36" s="1155">
        <v>77.73</v>
      </c>
    </row>
    <row r="37" spans="1:45" ht="13.8" x14ac:dyDescent="0.25">
      <c r="A37" s="106" t="s">
        <v>368</v>
      </c>
      <c r="B37" s="566">
        <v>107.34</v>
      </c>
      <c r="C37" s="566">
        <v>56.56</v>
      </c>
      <c r="D37" s="101" t="s">
        <v>368</v>
      </c>
      <c r="E37" s="101">
        <v>100.37</v>
      </c>
      <c r="F37" s="102">
        <v>52.89</v>
      </c>
      <c r="G37" s="103">
        <f t="shared" si="1"/>
        <v>26.45</v>
      </c>
      <c r="H37" s="553" t="s">
        <v>369</v>
      </c>
      <c r="I37" s="555">
        <v>144.24</v>
      </c>
      <c r="J37" s="550">
        <v>72.72</v>
      </c>
      <c r="K37" s="550">
        <f t="shared" si="2"/>
        <v>36.36</v>
      </c>
      <c r="L37" s="579"/>
      <c r="M37">
        <v>35</v>
      </c>
      <c r="N37" s="711" t="s">
        <v>137</v>
      </c>
      <c r="O37" s="107" t="s">
        <v>301</v>
      </c>
      <c r="P37" s="729" t="e">
        <f>IF(#REF!=$AF$2,20.41,IF(#REF!=$AF$1,23.67,""))</f>
        <v>#REF!</v>
      </c>
      <c r="Q37" s="570" t="s">
        <v>302</v>
      </c>
      <c r="R37" s="571" t="e">
        <f>IF(#REF!=$AF$2,40.82,IF(#REF!=$AF$1,53.34,""))</f>
        <v>#REF!</v>
      </c>
      <c r="S37" s="576" t="s">
        <v>303</v>
      </c>
      <c r="T37" s="580">
        <v>26.67</v>
      </c>
      <c r="U37" s="581" t="str">
        <f t="shared" si="5"/>
        <v xml:space="preserve">Instrucción 3/2025, de 23/06 de la Gerencia de la US </v>
      </c>
      <c r="V37" s="104"/>
      <c r="W37" s="580" t="e">
        <f>IF(#REF!=$AF$2,90,IF(#REF!=$AF$1,130,""))</f>
        <v>#REF!</v>
      </c>
      <c r="Z37" s="165" t="s">
        <v>304</v>
      </c>
      <c r="AA37" s="711" t="s">
        <v>134</v>
      </c>
      <c r="AC37" s="580"/>
      <c r="AD37" s="710"/>
      <c r="AI37" s="581" t="s">
        <v>199</v>
      </c>
      <c r="AJ37" s="104" t="s">
        <v>199</v>
      </c>
      <c r="AO37" s="1152" t="s">
        <v>218</v>
      </c>
      <c r="AP37" s="581" t="s">
        <v>198</v>
      </c>
      <c r="AQ37" s="1159" t="s">
        <v>233</v>
      </c>
      <c r="AR37" s="785" t="s">
        <v>1168</v>
      </c>
      <c r="AS37" s="1155">
        <v>86.2</v>
      </c>
    </row>
    <row r="38" spans="1:45" ht="13.8" x14ac:dyDescent="0.25">
      <c r="A38" s="106" t="s">
        <v>370</v>
      </c>
      <c r="B38" s="566">
        <v>71.34</v>
      </c>
      <c r="C38" s="566">
        <v>39.85</v>
      </c>
      <c r="D38" s="101" t="s">
        <v>370</v>
      </c>
      <c r="E38" s="101">
        <v>66.709999999999994</v>
      </c>
      <c r="F38" s="102">
        <v>37.26</v>
      </c>
      <c r="G38" s="103">
        <f t="shared" si="1"/>
        <v>18.63</v>
      </c>
      <c r="H38" s="553" t="s">
        <v>1197</v>
      </c>
      <c r="I38" s="555">
        <v>117.8</v>
      </c>
      <c r="J38" s="550">
        <v>59.5</v>
      </c>
      <c r="K38" s="550">
        <f t="shared" si="2"/>
        <v>29.75</v>
      </c>
      <c r="L38" s="579"/>
      <c r="M38">
        <v>35</v>
      </c>
      <c r="N38" s="711" t="s">
        <v>138</v>
      </c>
      <c r="O38" s="165" t="s">
        <v>301</v>
      </c>
      <c r="P38" s="733" t="e">
        <f>IF(#REF!=$AF$2,20.89,IF(#REF!=$AF$1,23.67,""))</f>
        <v>#REF!</v>
      </c>
      <c r="Q38" s="165" t="s">
        <v>302</v>
      </c>
      <c r="R38" s="584" t="e">
        <f>IF(#REF!=$AF$2,41.78,IF(#REF!=$AF$1,53.34,""))</f>
        <v>#REF!</v>
      </c>
      <c r="S38" s="165" t="s">
        <v>303</v>
      </c>
      <c r="T38" s="580">
        <v>26.67</v>
      </c>
      <c r="U38" s="581" t="str">
        <f t="shared" si="5"/>
        <v xml:space="preserve">Instrucción 3/2025, de 23/06 de la Gerencia de la US </v>
      </c>
      <c r="V38" s="165"/>
      <c r="W38" s="580" t="e">
        <f>IF(#REF!=$AF$2,120,IF(#REF!=$AF$1,150,""))</f>
        <v>#REF!</v>
      </c>
      <c r="X38" s="153"/>
      <c r="Y38" s="153"/>
      <c r="Z38" s="165" t="s">
        <v>304</v>
      </c>
      <c r="AA38" s="711" t="s">
        <v>135</v>
      </c>
      <c r="AC38" s="580"/>
      <c r="AD38" s="710"/>
      <c r="AI38" s="770" t="s">
        <v>371</v>
      </c>
      <c r="AJ38" s="104" t="s">
        <v>177</v>
      </c>
      <c r="AO38" s="1152" t="s">
        <v>219</v>
      </c>
      <c r="AP38" s="581" t="s">
        <v>199</v>
      </c>
      <c r="AQ38" s="1159" t="s">
        <v>235</v>
      </c>
      <c r="AR38" s="785" t="s">
        <v>1169</v>
      </c>
      <c r="AS38" s="1161">
        <v>96.2</v>
      </c>
    </row>
    <row r="39" spans="1:45" ht="13.8" x14ac:dyDescent="0.25">
      <c r="A39" s="105" t="s">
        <v>220</v>
      </c>
      <c r="B39" s="566">
        <v>73.92</v>
      </c>
      <c r="C39" s="566">
        <v>41.78</v>
      </c>
      <c r="D39" s="101" t="s">
        <v>220</v>
      </c>
      <c r="E39" s="101">
        <v>69.12</v>
      </c>
      <c r="F39" s="102">
        <v>39.07</v>
      </c>
      <c r="G39" s="103">
        <f t="shared" si="1"/>
        <v>19.54</v>
      </c>
      <c r="H39" s="553" t="s">
        <v>372</v>
      </c>
      <c r="I39" s="555">
        <v>78.13</v>
      </c>
      <c r="J39" s="550">
        <v>42.67</v>
      </c>
      <c r="K39" s="550">
        <f t="shared" si="2"/>
        <v>21.34</v>
      </c>
      <c r="L39" s="558"/>
      <c r="N39" s="711" t="s">
        <v>141</v>
      </c>
      <c r="O39" s="107" t="s">
        <v>301</v>
      </c>
      <c r="P39" s="729" t="e">
        <f>IF(#REF!=$AF$2,20.41,IF(#REF!=$AF$1,23.67,""))</f>
        <v>#REF!</v>
      </c>
      <c r="Q39" s="570" t="s">
        <v>309</v>
      </c>
      <c r="R39" s="571" t="e">
        <f>IF(#REF!=$AF$2,40.82,IF(#REF!=$AF$1,53.34,""))</f>
        <v>#REF!</v>
      </c>
      <c r="S39" s="588" t="s">
        <v>303</v>
      </c>
      <c r="T39" s="580">
        <v>26.67</v>
      </c>
      <c r="U39" s="581" t="str">
        <f t="shared" si="5"/>
        <v xml:space="preserve">Instrucción 3/2025, de 23/06 de la Gerencia de la US </v>
      </c>
      <c r="W39" s="580" t="e">
        <f>IF(#REF!=$AF$2,90,IF(#REF!=$AF$1,130,""))</f>
        <v>#REF!</v>
      </c>
      <c r="Z39" s="165" t="s">
        <v>304</v>
      </c>
      <c r="AA39" s="711" t="s">
        <v>137</v>
      </c>
      <c r="AC39" s="580"/>
      <c r="AD39" s="710"/>
      <c r="AI39" s="581" t="s">
        <v>200</v>
      </c>
      <c r="AJ39" s="104" t="s">
        <v>200</v>
      </c>
      <c r="AO39" s="1152" t="s">
        <v>220</v>
      </c>
      <c r="AP39" s="770" t="s">
        <v>371</v>
      </c>
      <c r="AQ39" s="1158" t="s">
        <v>437</v>
      </c>
      <c r="AR39" s="785" t="s">
        <v>1168</v>
      </c>
      <c r="AS39" s="1155">
        <v>74.17</v>
      </c>
    </row>
    <row r="40" spans="1:45" ht="13.8" x14ac:dyDescent="0.25">
      <c r="A40" s="105" t="s">
        <v>221</v>
      </c>
      <c r="B40" s="566">
        <v>95.76</v>
      </c>
      <c r="C40" s="566">
        <v>45.63</v>
      </c>
      <c r="D40" s="101" t="s">
        <v>221</v>
      </c>
      <c r="E40" s="101">
        <v>89.55</v>
      </c>
      <c r="F40" s="102">
        <v>42.67</v>
      </c>
      <c r="G40" s="103">
        <f t="shared" si="1"/>
        <v>21.34</v>
      </c>
      <c r="H40" s="553" t="s">
        <v>373</v>
      </c>
      <c r="I40" s="555">
        <v>81.14</v>
      </c>
      <c r="J40" s="550">
        <v>45.08</v>
      </c>
      <c r="K40" s="550">
        <f t="shared" si="2"/>
        <v>22.54</v>
      </c>
      <c r="L40" s="558"/>
      <c r="N40" s="711" t="s">
        <v>142</v>
      </c>
      <c r="O40" s="107" t="s">
        <v>301</v>
      </c>
      <c r="P40" s="733" t="e">
        <f>IF(#REF!=$AF$2,20.89,IF(#REF!=$AF$1,23.67,""))</f>
        <v>#REF!</v>
      </c>
      <c r="Q40" s="570" t="s">
        <v>309</v>
      </c>
      <c r="R40" s="584" t="e">
        <f>IF(#REF!=$AF$2,41.78,IF(#REF!=$AF$1,53.34,""))</f>
        <v>#REF!</v>
      </c>
      <c r="S40" s="588" t="s">
        <v>303</v>
      </c>
      <c r="T40" s="580">
        <v>26.67</v>
      </c>
      <c r="U40" s="581" t="str">
        <f t="shared" si="5"/>
        <v xml:space="preserve">Instrucción 3/2025, de 23/06 de la Gerencia de la US </v>
      </c>
      <c r="W40" s="580" t="e">
        <f>IF(#REF!=$AF$2,120,IF(#REF!=$AF$1,150,""))</f>
        <v>#REF!</v>
      </c>
      <c r="Z40" s="165" t="s">
        <v>304</v>
      </c>
      <c r="AA40" s="711" t="s">
        <v>138</v>
      </c>
      <c r="AC40" s="580"/>
      <c r="AD40" s="710"/>
      <c r="AI40" s="770" t="s">
        <v>374</v>
      </c>
      <c r="AJ40" s="104" t="s">
        <v>177</v>
      </c>
      <c r="AO40" s="1152" t="s">
        <v>221</v>
      </c>
      <c r="AP40" s="581" t="s">
        <v>200</v>
      </c>
      <c r="AQ40" s="1158" t="s">
        <v>446</v>
      </c>
      <c r="AR40" s="785" t="s">
        <v>1168</v>
      </c>
      <c r="AS40" s="1155">
        <v>74.17</v>
      </c>
    </row>
    <row r="41" spans="1:45" ht="13.8" x14ac:dyDescent="0.25">
      <c r="A41" s="105" t="s">
        <v>222</v>
      </c>
      <c r="B41" s="566">
        <v>93.84</v>
      </c>
      <c r="C41" s="566">
        <v>53.99</v>
      </c>
      <c r="D41" s="101" t="s">
        <v>222</v>
      </c>
      <c r="E41" s="101">
        <v>87.75</v>
      </c>
      <c r="F41" s="102">
        <v>50.49</v>
      </c>
      <c r="G41" s="103">
        <f t="shared" si="1"/>
        <v>25.25</v>
      </c>
      <c r="H41" s="553" t="s">
        <v>375</v>
      </c>
      <c r="I41" s="555">
        <v>105.18</v>
      </c>
      <c r="J41" s="550">
        <v>49.28</v>
      </c>
      <c r="K41" s="550">
        <f t="shared" si="2"/>
        <v>24.64</v>
      </c>
      <c r="L41" s="558"/>
      <c r="N41" s="711" t="s">
        <v>144</v>
      </c>
      <c r="O41" s="107" t="s">
        <v>301</v>
      </c>
      <c r="P41" s="729" t="e">
        <f>IF(#REF!=$AF$2,20.41,IF(#REF!=$AF$1,23.67,""))</f>
        <v>#REF!</v>
      </c>
      <c r="Q41" s="570" t="s">
        <v>309</v>
      </c>
      <c r="R41" s="571" t="e">
        <f>IF(#REF!=$AF$2,40.82,IF(#REF!=$AF$1,53.34,""))</f>
        <v>#REF!</v>
      </c>
      <c r="S41" s="588" t="s">
        <v>303</v>
      </c>
      <c r="T41" s="580">
        <v>26.67</v>
      </c>
      <c r="U41" s="581" t="str">
        <f t="shared" si="5"/>
        <v xml:space="preserve">Instrucción 3/2025, de 23/06 de la Gerencia de la US </v>
      </c>
      <c r="W41" s="580" t="e">
        <f>IF(#REF!=$AF$2,90,IF(#REF!=$AF$1,130,""))</f>
        <v>#REF!</v>
      </c>
      <c r="AA41" s="711" t="s">
        <v>141</v>
      </c>
      <c r="AC41" s="580"/>
      <c r="AD41" s="710"/>
      <c r="AI41" s="581" t="s">
        <v>376</v>
      </c>
      <c r="AJ41" s="104" t="s">
        <v>201</v>
      </c>
      <c r="AO41" s="1152" t="s">
        <v>222</v>
      </c>
      <c r="AP41" s="770" t="s">
        <v>374</v>
      </c>
      <c r="AQ41" s="1159" t="s">
        <v>241</v>
      </c>
      <c r="AR41" s="785" t="s">
        <v>1168</v>
      </c>
      <c r="AS41" s="1155">
        <v>85.8</v>
      </c>
    </row>
    <row r="42" spans="1:45" ht="13.8" x14ac:dyDescent="0.25">
      <c r="A42" s="105" t="s">
        <v>223</v>
      </c>
      <c r="B42" s="566">
        <v>48.21</v>
      </c>
      <c r="C42" s="566">
        <v>40.49</v>
      </c>
      <c r="D42" s="101" t="s">
        <v>223</v>
      </c>
      <c r="E42" s="101">
        <v>45.08</v>
      </c>
      <c r="F42" s="102">
        <v>37.86</v>
      </c>
      <c r="G42" s="103">
        <f t="shared" si="1"/>
        <v>18.93</v>
      </c>
      <c r="H42" s="553" t="s">
        <v>377</v>
      </c>
      <c r="I42" s="555">
        <v>102.77</v>
      </c>
      <c r="J42" s="550">
        <v>56.5</v>
      </c>
      <c r="K42" s="550">
        <f t="shared" si="2"/>
        <v>28.25</v>
      </c>
      <c r="L42" s="558"/>
      <c r="N42" s="711" t="s">
        <v>145</v>
      </c>
      <c r="O42" s="107" t="s">
        <v>301</v>
      </c>
      <c r="P42" s="733" t="e">
        <f>IF(#REF!=$AF$2,20.89,IF(#REF!=$AF$1,23.67,""))</f>
        <v>#REF!</v>
      </c>
      <c r="Q42" s="570" t="s">
        <v>309</v>
      </c>
      <c r="R42" s="584" t="e">
        <f>IF(#REF!=$AF$2,41.78,IF(#REF!=$AF$1,53.34,""))</f>
        <v>#REF!</v>
      </c>
      <c r="S42" s="588" t="s">
        <v>303</v>
      </c>
      <c r="T42" s="580">
        <v>26.67</v>
      </c>
      <c r="U42" s="581" t="str">
        <f t="shared" si="5"/>
        <v xml:space="preserve">Instrucción 3/2025, de 23/06 de la Gerencia de la US </v>
      </c>
      <c r="W42" s="580" t="e">
        <f>IF(#REF!=$AF$2,120,IF(#REF!=$AF$1,150,""))</f>
        <v>#REF!</v>
      </c>
      <c r="AA42" s="711" t="s">
        <v>142</v>
      </c>
      <c r="AC42" s="580"/>
      <c r="AD42" s="710"/>
      <c r="AI42" s="581" t="s">
        <v>378</v>
      </c>
      <c r="AJ42" s="104" t="s">
        <v>201</v>
      </c>
      <c r="AO42" s="1152" t="s">
        <v>223</v>
      </c>
      <c r="AP42" s="783" t="s">
        <v>376</v>
      </c>
      <c r="AQ42" s="1159" t="s">
        <v>243</v>
      </c>
      <c r="AR42" s="785" t="s">
        <v>1168</v>
      </c>
      <c r="AS42" s="1155">
        <v>71.67</v>
      </c>
    </row>
    <row r="43" spans="1:45" ht="13.8" x14ac:dyDescent="0.25">
      <c r="A43" s="105" t="s">
        <v>224</v>
      </c>
      <c r="B43" s="566">
        <v>74.56</v>
      </c>
      <c r="C43" s="566">
        <v>44.99</v>
      </c>
      <c r="D43" s="101" t="s">
        <v>224</v>
      </c>
      <c r="E43" s="101">
        <v>69.72</v>
      </c>
      <c r="F43" s="102">
        <v>42.07</v>
      </c>
      <c r="G43" s="103">
        <f t="shared" si="1"/>
        <v>21.04</v>
      </c>
      <c r="H43" s="553" t="s">
        <v>1198</v>
      </c>
      <c r="I43" s="555">
        <v>52.89</v>
      </c>
      <c r="J43" s="550">
        <v>43.87</v>
      </c>
      <c r="K43" s="550">
        <f t="shared" si="2"/>
        <v>21.94</v>
      </c>
      <c r="L43" s="558"/>
      <c r="N43" s="711" t="s">
        <v>148</v>
      </c>
      <c r="O43" s="107" t="s">
        <v>301</v>
      </c>
      <c r="P43" s="729" t="e">
        <f>IF(#REF!=$AF$2,20.41,IF(#REF!=$AF$1,23.67,""))</f>
        <v>#REF!</v>
      </c>
      <c r="Q43" s="570" t="s">
        <v>309</v>
      </c>
      <c r="R43" s="571" t="e">
        <f>IF(#REF!=$AF$2,40.82,IF(#REF!=$AF$1,53.34,""))</f>
        <v>#REF!</v>
      </c>
      <c r="S43" s="588" t="s">
        <v>303</v>
      </c>
      <c r="T43" s="580">
        <v>26.67</v>
      </c>
      <c r="U43" s="581" t="str">
        <f t="shared" si="5"/>
        <v xml:space="preserve">Instrucción 3/2025, de 23/06 de la Gerencia de la US </v>
      </c>
      <c r="W43" s="580" t="e">
        <f>IF(#REF!=$AF$2,90,IF(#REF!=$AF$1,130,""))</f>
        <v>#REF!</v>
      </c>
      <c r="AA43" s="711" t="s">
        <v>144</v>
      </c>
      <c r="AC43" s="580"/>
      <c r="AD43" s="710"/>
      <c r="AI43" s="581" t="s">
        <v>202</v>
      </c>
      <c r="AJ43" s="104" t="s">
        <v>202</v>
      </c>
      <c r="AO43" s="1152" t="s">
        <v>224</v>
      </c>
      <c r="AP43" s="783" t="s">
        <v>378</v>
      </c>
      <c r="AQ43" s="1159" t="s">
        <v>244</v>
      </c>
      <c r="AR43" s="785" t="s">
        <v>1171</v>
      </c>
      <c r="AS43" s="1155">
        <v>77.33</v>
      </c>
    </row>
    <row r="44" spans="1:45" ht="13.8" x14ac:dyDescent="0.25">
      <c r="A44" s="105" t="s">
        <v>225</v>
      </c>
      <c r="B44" s="566">
        <v>129.63</v>
      </c>
      <c r="C44" s="566">
        <v>55.28</v>
      </c>
      <c r="D44" s="101" t="s">
        <v>225</v>
      </c>
      <c r="E44" s="101">
        <v>121.4</v>
      </c>
      <c r="F44" s="102">
        <v>51.69</v>
      </c>
      <c r="G44" s="103">
        <f t="shared" si="1"/>
        <v>25.85</v>
      </c>
      <c r="H44" s="553" t="s">
        <v>379</v>
      </c>
      <c r="I44" s="555">
        <v>81.739999999999995</v>
      </c>
      <c r="J44" s="550">
        <v>49.28</v>
      </c>
      <c r="K44" s="550">
        <f t="shared" si="2"/>
        <v>24.64</v>
      </c>
      <c r="L44" s="558"/>
      <c r="N44" s="711" t="s">
        <v>149</v>
      </c>
      <c r="O44" s="107" t="s">
        <v>301</v>
      </c>
      <c r="P44" s="729" t="e">
        <f>IF(#REF!=$AF$2,20.89,IF(#REF!=$AF$1,23.67,""))</f>
        <v>#REF!</v>
      </c>
      <c r="Q44" s="570" t="s">
        <v>309</v>
      </c>
      <c r="R44" s="584" t="e">
        <f>IF(#REF!=$AF$2,41.78,IF(#REF!=$AF$1,53.34,""))</f>
        <v>#REF!</v>
      </c>
      <c r="S44" s="588" t="s">
        <v>303</v>
      </c>
      <c r="T44" s="580">
        <v>26.67</v>
      </c>
      <c r="U44" s="581" t="str">
        <f t="shared" si="5"/>
        <v xml:space="preserve">Instrucción 3/2025, de 23/06 de la Gerencia de la US </v>
      </c>
      <c r="W44" s="580" t="e">
        <f>IF(#REF!=$AF$2,120,IF(#REF!=$AF$1,150,""))</f>
        <v>#REF!</v>
      </c>
      <c r="AA44" s="711" t="s">
        <v>145</v>
      </c>
      <c r="AC44" s="580"/>
      <c r="AD44" s="710"/>
      <c r="AI44" s="581" t="s">
        <v>203</v>
      </c>
      <c r="AJ44" s="104" t="s">
        <v>203</v>
      </c>
      <c r="AO44" s="1152" t="s">
        <v>225</v>
      </c>
      <c r="AP44" s="581" t="s">
        <v>202</v>
      </c>
      <c r="AQ44" s="1159" t="s">
        <v>246</v>
      </c>
      <c r="AR44" s="785" t="s">
        <v>1170</v>
      </c>
      <c r="AS44" s="1155">
        <v>75.13</v>
      </c>
    </row>
    <row r="45" spans="1:45" ht="13.8" x14ac:dyDescent="0.25">
      <c r="A45" s="105" t="s">
        <v>226</v>
      </c>
      <c r="B45" s="566">
        <v>123.4</v>
      </c>
      <c r="C45" s="566">
        <v>49.49</v>
      </c>
      <c r="D45" s="101" t="s">
        <v>226</v>
      </c>
      <c r="E45" s="101">
        <v>115.39</v>
      </c>
      <c r="F45" s="102">
        <v>46.28</v>
      </c>
      <c r="G45" s="103">
        <f t="shared" si="1"/>
        <v>23.14</v>
      </c>
      <c r="H45" s="553" t="s">
        <v>380</v>
      </c>
      <c r="I45" s="555">
        <v>142.44</v>
      </c>
      <c r="J45" s="550">
        <v>57.7</v>
      </c>
      <c r="K45" s="550">
        <f t="shared" si="2"/>
        <v>28.85</v>
      </c>
      <c r="L45" s="558"/>
      <c r="N45" s="106" t="s">
        <v>45</v>
      </c>
      <c r="O45" s="107" t="s">
        <v>301</v>
      </c>
      <c r="P45" s="729" t="e">
        <f>IF(#REF!=$AF$2,20.41,IF(#REF!=$AF$1,23.67,""))</f>
        <v>#REF!</v>
      </c>
      <c r="Q45" s="570" t="s">
        <v>309</v>
      </c>
      <c r="R45" s="584" t="e">
        <f>IF(#REF!=$AF$2,40.82,IF(#REF!=$AF$1,53.34,""))</f>
        <v>#REF!</v>
      </c>
      <c r="S45" s="588" t="s">
        <v>303</v>
      </c>
      <c r="T45" s="580">
        <v>26.67</v>
      </c>
      <c r="U45" s="581" t="str">
        <f t="shared" si="5"/>
        <v xml:space="preserve">Instrucción 3/2025, de 23/06 de la Gerencia de la US </v>
      </c>
      <c r="W45" s="580" t="e">
        <f>IF(#REF!=$AF$2,90,IF(#REF!=$AF$1,130,""))</f>
        <v>#REF!</v>
      </c>
      <c r="AA45" s="711" t="s">
        <v>148</v>
      </c>
      <c r="AB45" s="106"/>
      <c r="AC45" s="580"/>
      <c r="AD45" s="710"/>
      <c r="AI45" s="581" t="s">
        <v>204</v>
      </c>
      <c r="AJ45" s="104" t="s">
        <v>204</v>
      </c>
      <c r="AO45" s="1152" t="s">
        <v>226</v>
      </c>
      <c r="AP45" s="581" t="s">
        <v>203</v>
      </c>
      <c r="AQ45" s="1159" t="s">
        <v>250</v>
      </c>
      <c r="AR45" s="785" t="s">
        <v>1168</v>
      </c>
      <c r="AS45" s="1155">
        <v>89.27</v>
      </c>
    </row>
    <row r="46" spans="1:45" ht="13.8" x14ac:dyDescent="0.25">
      <c r="A46" s="105" t="s">
        <v>227</v>
      </c>
      <c r="B46" s="566">
        <v>106.69</v>
      </c>
      <c r="C46" s="566">
        <v>41.13</v>
      </c>
      <c r="D46" s="101" t="s">
        <v>227</v>
      </c>
      <c r="E46" s="101">
        <v>99.77</v>
      </c>
      <c r="F46" s="102">
        <v>38.46</v>
      </c>
      <c r="G46" s="103">
        <f t="shared" si="1"/>
        <v>19.23</v>
      </c>
      <c r="H46" s="553" t="s">
        <v>1199</v>
      </c>
      <c r="I46" s="555">
        <v>135.22999999999999</v>
      </c>
      <c r="J46" s="550">
        <v>52.89</v>
      </c>
      <c r="K46" s="550">
        <f t="shared" si="2"/>
        <v>26.45</v>
      </c>
      <c r="L46" s="558"/>
      <c r="N46" s="106" t="s">
        <v>46</v>
      </c>
      <c r="O46" s="107" t="s">
        <v>301</v>
      </c>
      <c r="P46" s="729" t="e">
        <f>IF(#REF!=$AF$2,20.89,IF(#REF!=$AF$1,23.67,""))</f>
        <v>#REF!</v>
      </c>
      <c r="Q46" s="570" t="s">
        <v>309</v>
      </c>
      <c r="R46" s="584" t="e">
        <f>IF(#REF!=$AF$2,41.78,IF(#REF!=$AF$1,53.34,""))</f>
        <v>#REF!</v>
      </c>
      <c r="S46" s="588" t="s">
        <v>303</v>
      </c>
      <c r="T46" s="580">
        <v>26.67</v>
      </c>
      <c r="U46" s="581" t="str">
        <f t="shared" si="5"/>
        <v xml:space="preserve">Instrucción 3/2025, de 23/06 de la Gerencia de la US </v>
      </c>
      <c r="W46" s="580" t="e">
        <f>IF(#REF!=$AF$2,120,IF(#REF!=$AF$1,150,""))</f>
        <v>#REF!</v>
      </c>
      <c r="AA46" s="711" t="s">
        <v>149</v>
      </c>
      <c r="AB46" s="106"/>
      <c r="AC46" s="580"/>
      <c r="AD46" s="710"/>
      <c r="AI46" s="581" t="s">
        <v>206</v>
      </c>
      <c r="AJ46" s="104" t="s">
        <v>206</v>
      </c>
      <c r="AO46" s="1152" t="s">
        <v>227</v>
      </c>
      <c r="AP46" s="581" t="s">
        <v>204</v>
      </c>
      <c r="AQ46" s="1159" t="s">
        <v>251</v>
      </c>
      <c r="AR46" s="785" t="s">
        <v>1172</v>
      </c>
      <c r="AS46" s="1155">
        <v>72.069999999999993</v>
      </c>
    </row>
    <row r="47" spans="1:45" ht="13.8" x14ac:dyDescent="0.25">
      <c r="A47" s="105" t="s">
        <v>228</v>
      </c>
      <c r="B47" s="566">
        <v>109.26</v>
      </c>
      <c r="C47" s="566">
        <v>45.63</v>
      </c>
      <c r="D47" s="101" t="s">
        <v>228</v>
      </c>
      <c r="E47" s="101">
        <v>102.17</v>
      </c>
      <c r="F47" s="102">
        <v>42.67</v>
      </c>
      <c r="G47" s="103">
        <f t="shared" si="1"/>
        <v>21.34</v>
      </c>
      <c r="H47" s="553" t="s">
        <v>381</v>
      </c>
      <c r="I47" s="555">
        <v>117.2</v>
      </c>
      <c r="J47" s="550">
        <v>44.47</v>
      </c>
      <c r="K47" s="550">
        <f t="shared" si="2"/>
        <v>22.24</v>
      </c>
      <c r="L47" s="558"/>
      <c r="N47" s="165" t="s">
        <v>94</v>
      </c>
      <c r="O47" s="107" t="s">
        <v>301</v>
      </c>
      <c r="P47" s="729" t="e">
        <f>IF(#REF!=$AF$2,20.41,IF(#REF!=$AF$1,23.67,""))</f>
        <v>#REF!</v>
      </c>
      <c r="Q47" s="570" t="s">
        <v>309</v>
      </c>
      <c r="R47" s="584" t="e">
        <f>IF(#REF!=$AF$2,40.82,IF(#REF!=$AF$1,53.34,""))</f>
        <v>#REF!</v>
      </c>
      <c r="S47" s="588" t="s">
        <v>303</v>
      </c>
      <c r="T47" s="580">
        <v>26.67</v>
      </c>
      <c r="U47" s="581" t="str">
        <f t="shared" si="5"/>
        <v xml:space="preserve">Instrucción 3/2025, de 23/06 de la Gerencia de la US </v>
      </c>
      <c r="W47" s="580" t="e">
        <f>IF(#REF!=$AF$2,90,IF(#REF!=$AF$1,130,""))</f>
        <v>#REF!</v>
      </c>
      <c r="AA47" s="165" t="s">
        <v>94</v>
      </c>
      <c r="AC47" s="580"/>
      <c r="AD47" s="710"/>
      <c r="AI47" s="581" t="s">
        <v>207</v>
      </c>
      <c r="AJ47" s="104" t="s">
        <v>207</v>
      </c>
      <c r="AO47" s="1152" t="s">
        <v>228</v>
      </c>
      <c r="AP47" s="581" t="s">
        <v>206</v>
      </c>
      <c r="AQ47" s="1159" t="s">
        <v>252</v>
      </c>
      <c r="AR47" s="785" t="s">
        <v>1168</v>
      </c>
      <c r="AS47" s="1155">
        <v>85.73</v>
      </c>
    </row>
    <row r="48" spans="1:45" ht="13.8" x14ac:dyDescent="0.25">
      <c r="A48" s="105" t="s">
        <v>229</v>
      </c>
      <c r="B48" s="566">
        <v>70.7</v>
      </c>
      <c r="C48" s="566">
        <v>41.78</v>
      </c>
      <c r="D48" s="101" t="s">
        <v>229</v>
      </c>
      <c r="E48" s="101">
        <v>66.11</v>
      </c>
      <c r="F48" s="102">
        <v>39.07</v>
      </c>
      <c r="G48" s="103">
        <f t="shared" si="1"/>
        <v>19.54</v>
      </c>
      <c r="H48" s="553" t="s">
        <v>382</v>
      </c>
      <c r="I48" s="555">
        <v>120.2</v>
      </c>
      <c r="J48" s="550">
        <v>48.68</v>
      </c>
      <c r="K48" s="550">
        <f t="shared" si="2"/>
        <v>24.34</v>
      </c>
      <c r="L48" s="558"/>
      <c r="N48" s="165" t="s">
        <v>100</v>
      </c>
      <c r="O48" s="107" t="s">
        <v>301</v>
      </c>
      <c r="P48" s="729" t="e">
        <f>IF(#REF!=$AF$2,20.41,IF(#REF!=$AF$1,23.67,""))</f>
        <v>#REF!</v>
      </c>
      <c r="Q48" s="570" t="s">
        <v>309</v>
      </c>
      <c r="R48" s="584" t="e">
        <f>IF(#REF!=$AF$2,41.78,IF(#REF!=$AF$1,53.34,""))</f>
        <v>#REF!</v>
      </c>
      <c r="S48" s="588" t="s">
        <v>303</v>
      </c>
      <c r="T48" s="580">
        <v>26.67</v>
      </c>
      <c r="U48" s="581" t="str">
        <f t="shared" si="5"/>
        <v xml:space="preserve">Instrucción 3/2025, de 23/06 de la Gerencia de la US </v>
      </c>
      <c r="W48" s="580" t="e">
        <f>IF(#REF!=$AF$2,90,IF(#REF!=$AF$1,130,""))</f>
        <v>#REF!</v>
      </c>
      <c r="AA48" s="165" t="s">
        <v>100</v>
      </c>
      <c r="AC48" s="580"/>
      <c r="AD48" s="710"/>
      <c r="AI48" s="581" t="s">
        <v>208</v>
      </c>
      <c r="AJ48" s="104" t="s">
        <v>208</v>
      </c>
      <c r="AO48" s="1152" t="s">
        <v>229</v>
      </c>
      <c r="AP48" s="581" t="s">
        <v>207</v>
      </c>
      <c r="AQ48" s="1159" t="s">
        <v>478</v>
      </c>
      <c r="AR48" s="785" t="s">
        <v>1170</v>
      </c>
      <c r="AS48" s="1155">
        <v>79.569999999999993</v>
      </c>
    </row>
    <row r="49" spans="1:45" ht="13.8" x14ac:dyDescent="0.25">
      <c r="A49" s="804" t="s">
        <v>230</v>
      </c>
      <c r="B49" s="805">
        <v>86.13</v>
      </c>
      <c r="C49" s="805">
        <v>47.56</v>
      </c>
      <c r="D49" s="104" t="s">
        <v>230</v>
      </c>
      <c r="E49" s="104">
        <v>80.540000000000006</v>
      </c>
      <c r="F49" s="567">
        <v>44.47</v>
      </c>
      <c r="G49" s="589">
        <f t="shared" si="1"/>
        <v>22.24</v>
      </c>
      <c r="H49" s="590" t="s">
        <v>383</v>
      </c>
      <c r="I49" s="591">
        <v>77.53</v>
      </c>
      <c r="J49" s="592">
        <v>44.47</v>
      </c>
      <c r="K49" s="592">
        <f t="shared" si="2"/>
        <v>22.24</v>
      </c>
      <c r="L49" s="558"/>
      <c r="N49" s="810" t="s">
        <v>95</v>
      </c>
      <c r="O49" s="107" t="s">
        <v>301</v>
      </c>
      <c r="P49" s="729" t="e">
        <f>IF(#REF!=$AF$2,20.89,IF(#REF!=$AF$1,23.67,""))</f>
        <v>#REF!</v>
      </c>
      <c r="Q49" s="570" t="s">
        <v>309</v>
      </c>
      <c r="R49" s="584" t="e">
        <f>IF(#REF!=$AF$2,41.78,IF(#REF!=$AF$1,53.34,""))</f>
        <v>#REF!</v>
      </c>
      <c r="S49" s="588" t="s">
        <v>303</v>
      </c>
      <c r="T49" s="580">
        <v>26.67</v>
      </c>
      <c r="U49" s="581" t="str">
        <f t="shared" si="5"/>
        <v xml:space="preserve">Instrucción 3/2025, de 23/06 de la Gerencia de la US </v>
      </c>
      <c r="W49" s="580" t="e">
        <f>IF(#REF!=$AF$2,120,IF(#REF!=$AF$1,150,""))</f>
        <v>#REF!</v>
      </c>
      <c r="AA49" s="810" t="s">
        <v>95</v>
      </c>
      <c r="AC49" s="580"/>
      <c r="AD49" s="710"/>
      <c r="AI49" s="581" t="s">
        <v>209</v>
      </c>
      <c r="AJ49" s="104" t="s">
        <v>209</v>
      </c>
      <c r="AO49" s="1153" t="s">
        <v>230</v>
      </c>
      <c r="AP49" s="581" t="s">
        <v>208</v>
      </c>
      <c r="AQ49" s="1159" t="s">
        <v>257</v>
      </c>
      <c r="AR49" s="785" t="s">
        <v>1168</v>
      </c>
      <c r="AS49" s="1155">
        <v>77.73</v>
      </c>
    </row>
    <row r="50" spans="1:45" ht="13.8" x14ac:dyDescent="0.25">
      <c r="A50" s="105" t="s">
        <v>231</v>
      </c>
      <c r="B50" s="566">
        <v>99.63</v>
      </c>
      <c r="C50" s="566">
        <v>51.42</v>
      </c>
      <c r="D50" s="101" t="s">
        <v>231</v>
      </c>
      <c r="E50" s="101">
        <v>93.16</v>
      </c>
      <c r="F50" s="102">
        <v>48.08</v>
      </c>
      <c r="G50" s="103">
        <f t="shared" si="1"/>
        <v>24.04</v>
      </c>
      <c r="H50" s="553" t="s">
        <v>1200</v>
      </c>
      <c r="I50" s="555">
        <v>94.36</v>
      </c>
      <c r="J50" s="550">
        <v>51.69</v>
      </c>
      <c r="K50" s="550">
        <f t="shared" si="2"/>
        <v>25.85</v>
      </c>
      <c r="L50" s="558"/>
      <c r="N50" s="165" t="s">
        <v>101</v>
      </c>
      <c r="O50" s="107" t="s">
        <v>301</v>
      </c>
      <c r="P50" s="729" t="e">
        <f>IF(#REF!=$AF$2,20.89,IF(#REF!=$AF$1,23.67,""))</f>
        <v>#REF!</v>
      </c>
      <c r="Q50" s="570" t="s">
        <v>309</v>
      </c>
      <c r="R50" s="584" t="e">
        <f>IF(#REF!=$AF$2,41.78,IF(#REF!=$AF$1,53.34,""))</f>
        <v>#REF!</v>
      </c>
      <c r="S50" s="588" t="s">
        <v>303</v>
      </c>
      <c r="T50" s="580">
        <v>26.67</v>
      </c>
      <c r="U50" s="581" t="str">
        <f t="shared" si="5"/>
        <v xml:space="preserve">Instrucción 3/2025, de 23/06 de la Gerencia de la US </v>
      </c>
      <c r="W50" s="580" t="e">
        <f>IF(#REF!=$AF$2,120,IF(#REF!=$AF$1,150,""))</f>
        <v>#REF!</v>
      </c>
      <c r="AA50" s="165" t="s">
        <v>101</v>
      </c>
      <c r="AC50" s="580"/>
      <c r="AD50" s="710"/>
      <c r="AI50" s="581" t="s">
        <v>210</v>
      </c>
      <c r="AJ50" s="104" t="s">
        <v>210</v>
      </c>
      <c r="AO50" s="1152" t="s">
        <v>231</v>
      </c>
      <c r="AP50" s="581" t="s">
        <v>209</v>
      </c>
      <c r="AQ50" s="1159" t="s">
        <v>258</v>
      </c>
      <c r="AR50" s="785" t="s">
        <v>1168</v>
      </c>
      <c r="AS50" s="1155">
        <v>77.33</v>
      </c>
    </row>
    <row r="51" spans="1:45" ht="13.8" x14ac:dyDescent="0.25">
      <c r="A51" s="105" t="s">
        <v>232</v>
      </c>
      <c r="B51" s="566">
        <v>98.98</v>
      </c>
      <c r="C51" s="566">
        <v>60.42</v>
      </c>
      <c r="D51" s="101" t="s">
        <v>232</v>
      </c>
      <c r="E51" s="101">
        <v>92.56</v>
      </c>
      <c r="F51" s="102">
        <v>56.5</v>
      </c>
      <c r="G51" s="103">
        <f t="shared" si="1"/>
        <v>28.25</v>
      </c>
      <c r="H51" s="553" t="s">
        <v>384</v>
      </c>
      <c r="I51" s="555">
        <v>109.38</v>
      </c>
      <c r="J51" s="550">
        <v>54.09</v>
      </c>
      <c r="K51" s="550">
        <f t="shared" si="2"/>
        <v>27.05</v>
      </c>
      <c r="L51" s="558"/>
      <c r="N51" s="165" t="s">
        <v>54</v>
      </c>
      <c r="O51" s="107" t="s">
        <v>301</v>
      </c>
      <c r="P51" s="729" t="e">
        <f>IF(#REF!=$AF$2,20.89,IF(#REF!=$AF$1,23.67,""))</f>
        <v>#REF!</v>
      </c>
      <c r="Q51" s="570" t="s">
        <v>309</v>
      </c>
      <c r="R51" s="584" t="e">
        <f>IF(#REF!=$AF$2,41.78,IF(#REF!=$AF$1,53.34,""))</f>
        <v>#REF!</v>
      </c>
      <c r="S51" s="588" t="s">
        <v>303</v>
      </c>
      <c r="T51" s="580">
        <v>26.67</v>
      </c>
      <c r="U51" s="581" t="str">
        <f t="shared" si="5"/>
        <v xml:space="preserve">Instrucción 3/2025, de 23/06 de la Gerencia de la US </v>
      </c>
      <c r="AA51" s="165" t="s">
        <v>150</v>
      </c>
      <c r="AC51" s="580"/>
      <c r="AD51" s="710"/>
      <c r="AI51" s="581" t="s">
        <v>385</v>
      </c>
      <c r="AJ51" s="104" t="s">
        <v>386</v>
      </c>
      <c r="AO51" s="1152" t="s">
        <v>232</v>
      </c>
      <c r="AP51" s="581" t="s">
        <v>210</v>
      </c>
      <c r="AQ51" s="1158" t="s">
        <v>479</v>
      </c>
      <c r="AR51" s="785" t="s">
        <v>1170</v>
      </c>
      <c r="AS51" s="1155">
        <v>72.73</v>
      </c>
    </row>
    <row r="52" spans="1:45" ht="13.8" x14ac:dyDescent="0.25">
      <c r="A52" s="105" t="s">
        <v>233</v>
      </c>
      <c r="B52" s="566">
        <v>140.11000000000001</v>
      </c>
      <c r="C52" s="566">
        <v>67.489999999999995</v>
      </c>
      <c r="D52" s="101" t="s">
        <v>233</v>
      </c>
      <c r="E52" s="101">
        <v>131.02000000000001</v>
      </c>
      <c r="F52" s="102">
        <v>63.11</v>
      </c>
      <c r="G52" s="103">
        <f t="shared" si="1"/>
        <v>31.56</v>
      </c>
      <c r="H52" s="553" t="s">
        <v>387</v>
      </c>
      <c r="I52" s="555">
        <v>108.78</v>
      </c>
      <c r="J52" s="550">
        <v>63.71</v>
      </c>
      <c r="K52" s="550">
        <f t="shared" si="2"/>
        <v>31.86</v>
      </c>
      <c r="L52" s="558"/>
      <c r="N52" s="165" t="s">
        <v>55</v>
      </c>
      <c r="O52" s="1128" t="s">
        <v>301</v>
      </c>
      <c r="P52" s="729" t="e">
        <f>IF(#REF!=$AF$2,20.89,IF(#REF!=$AF$1,23.67,""))</f>
        <v>#REF!</v>
      </c>
      <c r="Q52" s="570" t="s">
        <v>309</v>
      </c>
      <c r="R52" s="584" t="e">
        <f>IF(#REF!=$AF$2,41.78,IF(#REF!=$AF$1,53.34,""))</f>
        <v>#REF!</v>
      </c>
      <c r="S52" s="588" t="s">
        <v>303</v>
      </c>
      <c r="T52" s="580">
        <v>26.67</v>
      </c>
      <c r="U52" s="581" t="str">
        <f>IF($AG$2&lt;$AH$1,$AF$2,IF($AG$2&gt;$AH$1,$AF$1,""))</f>
        <v xml:space="preserve">Instrucción 3/2025, de 23/06 de la Gerencia de la US </v>
      </c>
      <c r="AA52" s="165" t="s">
        <v>151</v>
      </c>
      <c r="AC52" s="580"/>
      <c r="AD52" s="710"/>
      <c r="AI52" s="770" t="s">
        <v>388</v>
      </c>
      <c r="AJ52" s="104" t="s">
        <v>177</v>
      </c>
      <c r="AO52" s="1152" t="s">
        <v>233</v>
      </c>
      <c r="AP52" s="581" t="s">
        <v>385</v>
      </c>
      <c r="AQ52" s="1158" t="s">
        <v>480</v>
      </c>
      <c r="AR52" s="785" t="s">
        <v>1169</v>
      </c>
      <c r="AS52" s="1155">
        <v>80.430000000000007</v>
      </c>
    </row>
    <row r="53" spans="1:45" ht="13.8" x14ac:dyDescent="0.25">
      <c r="A53" s="105" t="s">
        <v>234</v>
      </c>
      <c r="B53" s="566">
        <v>82.27</v>
      </c>
      <c r="C53" s="566">
        <v>49.49</v>
      </c>
      <c r="D53" s="101" t="s">
        <v>234</v>
      </c>
      <c r="E53" s="101">
        <v>76.930000000000007</v>
      </c>
      <c r="F53" s="102">
        <v>46.28</v>
      </c>
      <c r="G53" s="103">
        <f t="shared" si="1"/>
        <v>23.14</v>
      </c>
      <c r="H53" s="553" t="s">
        <v>389</v>
      </c>
      <c r="I53" s="555">
        <v>153.86000000000001</v>
      </c>
      <c r="J53" s="550">
        <v>69.72</v>
      </c>
      <c r="K53" s="550">
        <f t="shared" si="2"/>
        <v>34.86</v>
      </c>
      <c r="L53" s="558"/>
      <c r="N53" s="574" t="s">
        <v>106</v>
      </c>
      <c r="O53" s="1128" t="s">
        <v>301</v>
      </c>
      <c r="P53" s="729" t="e">
        <f>IF(#REF!=$AF$2,20.89,IF(#REF!=$AF$1,23.67,""))</f>
        <v>#REF!</v>
      </c>
      <c r="Q53" s="570" t="s">
        <v>309</v>
      </c>
      <c r="R53" s="584" t="e">
        <f>IF(#REF!=$AF$2,41.78,IF(#REF!=$AF$1,53.34,""))</f>
        <v>#REF!</v>
      </c>
      <c r="S53" s="588" t="s">
        <v>303</v>
      </c>
      <c r="T53" s="580">
        <v>26.67</v>
      </c>
      <c r="U53" s="581" t="str">
        <f t="shared" ref="U53" si="6">IF($AG$2&lt;$AH$1,$AF$2,IF($AG$2&gt;$AH$1,$AF$1,""))</f>
        <v xml:space="preserve">Instrucción 3/2025, de 23/06 de la Gerencia de la US </v>
      </c>
      <c r="AC53" s="580"/>
      <c r="AD53" s="710"/>
      <c r="AI53" s="581" t="s">
        <v>212</v>
      </c>
      <c r="AJ53" s="104" t="s">
        <v>212</v>
      </c>
      <c r="AO53" s="1152" t="s">
        <v>234</v>
      </c>
      <c r="AP53" s="770" t="s">
        <v>388</v>
      </c>
      <c r="AQ53" s="1159" t="s">
        <v>259</v>
      </c>
      <c r="AR53" s="785" t="s">
        <v>1168</v>
      </c>
      <c r="AS53" s="1155">
        <v>93.5</v>
      </c>
    </row>
    <row r="54" spans="1:45" ht="13.8" x14ac:dyDescent="0.25">
      <c r="A54" s="105" t="s">
        <v>235</v>
      </c>
      <c r="B54" s="566">
        <v>170.96</v>
      </c>
      <c r="C54" s="566">
        <v>103.48</v>
      </c>
      <c r="D54" s="101" t="s">
        <v>235</v>
      </c>
      <c r="E54" s="101">
        <v>159.87</v>
      </c>
      <c r="F54" s="102">
        <v>96.76</v>
      </c>
      <c r="G54" s="103">
        <f t="shared" si="1"/>
        <v>48.38</v>
      </c>
      <c r="H54" s="553" t="s">
        <v>390</v>
      </c>
      <c r="I54" s="555">
        <v>90.15</v>
      </c>
      <c r="J54" s="550">
        <v>51.69</v>
      </c>
      <c r="K54" s="550">
        <f t="shared" si="2"/>
        <v>25.85</v>
      </c>
      <c r="L54" s="558"/>
      <c r="N54" s="574" t="s">
        <v>107</v>
      </c>
      <c r="O54" s="1128" t="s">
        <v>301</v>
      </c>
      <c r="P54" s="729" t="e">
        <f>IF(#REF!=$AF$2,20.89,IF(#REF!=$AF$1,23.67,""))</f>
        <v>#REF!</v>
      </c>
      <c r="Q54" s="570" t="s">
        <v>309</v>
      </c>
      <c r="R54" s="584" t="e">
        <f>IF(#REF!=$AF$2,41.78,IF(#REF!=$AF$1,53.34,""))</f>
        <v>#REF!</v>
      </c>
      <c r="S54" s="588" t="s">
        <v>303</v>
      </c>
      <c r="T54" s="580">
        <v>26.67</v>
      </c>
      <c r="U54" s="581" t="str">
        <f>IF($AG$2&lt;$AH$1,$AF$2,IF($AG$2&gt;$AH$1,$AF$1,""))</f>
        <v xml:space="preserve">Instrucción 3/2025, de 23/06 de la Gerencia de la US </v>
      </c>
      <c r="AC54" s="580"/>
      <c r="AD54" s="710"/>
      <c r="AI54" s="770" t="s">
        <v>391</v>
      </c>
      <c r="AJ54" s="104" t="s">
        <v>177</v>
      </c>
      <c r="AO54" s="1152" t="s">
        <v>235</v>
      </c>
      <c r="AP54" s="581" t="s">
        <v>212</v>
      </c>
      <c r="AQ54" s="1159" t="s">
        <v>260</v>
      </c>
      <c r="AR54" s="785" t="s">
        <v>1168</v>
      </c>
      <c r="AS54" s="1155">
        <v>78.3</v>
      </c>
    </row>
    <row r="55" spans="1:45" ht="13.8" x14ac:dyDescent="0.25">
      <c r="A55" s="105" t="s">
        <v>236</v>
      </c>
      <c r="B55" s="566">
        <v>99.63</v>
      </c>
      <c r="C55" s="566">
        <v>45.63</v>
      </c>
      <c r="D55" s="101" t="s">
        <v>236</v>
      </c>
      <c r="E55" s="101">
        <v>93.16</v>
      </c>
      <c r="F55" s="102">
        <v>42.67</v>
      </c>
      <c r="G55" s="103">
        <f t="shared" si="1"/>
        <v>21.34</v>
      </c>
      <c r="H55" s="553" t="s">
        <v>1201</v>
      </c>
      <c r="I55" s="555">
        <v>187.52</v>
      </c>
      <c r="J55" s="550">
        <v>108.18</v>
      </c>
      <c r="K55" s="550">
        <f t="shared" si="2"/>
        <v>54.09</v>
      </c>
      <c r="L55" s="558"/>
      <c r="N55" s="165" t="s">
        <v>150</v>
      </c>
      <c r="O55" s="1128" t="s">
        <v>301</v>
      </c>
      <c r="Q55" s="570" t="s">
        <v>309</v>
      </c>
      <c r="S55" s="588" t="s">
        <v>303</v>
      </c>
      <c r="T55" s="580">
        <v>26.67</v>
      </c>
      <c r="U55" s="581" t="str">
        <f t="shared" ref="U55:U56" si="7">IF($AG$2&lt;$AH$1,$AF$2,IF($AG$2&gt;$AH$1,$AF$1,""))</f>
        <v xml:space="preserve">Instrucción 3/2025, de 23/06 de la Gerencia de la US </v>
      </c>
      <c r="AC55" s="580"/>
      <c r="AD55" s="710"/>
      <c r="AI55" s="581" t="s">
        <v>213</v>
      </c>
      <c r="AJ55" s="104" t="s">
        <v>213</v>
      </c>
      <c r="AO55" s="1152" t="s">
        <v>236</v>
      </c>
      <c r="AP55" s="770" t="s">
        <v>391</v>
      </c>
      <c r="AQ55" s="1159" t="s">
        <v>262</v>
      </c>
      <c r="AR55" s="785" t="s">
        <v>1168</v>
      </c>
      <c r="AS55" s="1155">
        <v>81.569999999999993</v>
      </c>
    </row>
    <row r="56" spans="1:45" ht="13.8" x14ac:dyDescent="0.25">
      <c r="A56" s="105" t="s">
        <v>237</v>
      </c>
      <c r="B56" s="566">
        <v>88.05</v>
      </c>
      <c r="C56" s="566">
        <v>42.42</v>
      </c>
      <c r="D56" s="101" t="s">
        <v>237</v>
      </c>
      <c r="E56" s="101">
        <v>82.34</v>
      </c>
      <c r="F56" s="102">
        <v>39.67</v>
      </c>
      <c r="G56" s="103">
        <f t="shared" si="1"/>
        <v>19.84</v>
      </c>
      <c r="H56" s="553" t="s">
        <v>392</v>
      </c>
      <c r="I56" s="555">
        <v>109.38</v>
      </c>
      <c r="J56" s="550">
        <v>48.68</v>
      </c>
      <c r="K56" s="550">
        <f t="shared" si="2"/>
        <v>24.34</v>
      </c>
      <c r="L56" s="558"/>
      <c r="N56" s="165" t="s">
        <v>151</v>
      </c>
      <c r="O56" s="1128" t="s">
        <v>301</v>
      </c>
      <c r="Q56" s="570" t="s">
        <v>309</v>
      </c>
      <c r="S56" s="588" t="s">
        <v>303</v>
      </c>
      <c r="T56" s="580">
        <v>26.67</v>
      </c>
      <c r="U56" s="581" t="str">
        <f t="shared" si="7"/>
        <v xml:space="preserve">Instrucción 3/2025, de 23/06 de la Gerencia de la US </v>
      </c>
      <c r="AC56" s="580"/>
      <c r="AD56" s="710"/>
      <c r="AI56" s="770" t="s">
        <v>393</v>
      </c>
      <c r="AJ56" s="104" t="s">
        <v>177</v>
      </c>
      <c r="AO56" s="1152" t="s">
        <v>237</v>
      </c>
      <c r="AP56" s="581" t="s">
        <v>213</v>
      </c>
      <c r="AQ56" s="1159" t="s">
        <v>263</v>
      </c>
      <c r="AR56" s="785" t="s">
        <v>1168</v>
      </c>
      <c r="AS56" s="1155">
        <v>103.33</v>
      </c>
    </row>
    <row r="57" spans="1:45" ht="13.8" x14ac:dyDescent="0.25">
      <c r="A57" s="105" t="s">
        <v>238</v>
      </c>
      <c r="B57" s="566">
        <v>131.12</v>
      </c>
      <c r="C57" s="566">
        <v>47.56</v>
      </c>
      <c r="D57" s="101" t="s">
        <v>238</v>
      </c>
      <c r="E57" s="101">
        <v>122.61</v>
      </c>
      <c r="F57" s="102">
        <v>44.47</v>
      </c>
      <c r="G57" s="103">
        <f t="shared" si="1"/>
        <v>22.24</v>
      </c>
      <c r="H57" s="553" t="s">
        <v>394</v>
      </c>
      <c r="I57" s="555">
        <v>96.76</v>
      </c>
      <c r="J57" s="550">
        <v>45.08</v>
      </c>
      <c r="K57" s="550">
        <f t="shared" si="2"/>
        <v>22.54</v>
      </c>
      <c r="L57" s="558"/>
      <c r="N57" s="1166" t="s">
        <v>1182</v>
      </c>
      <c r="U57" s="67" t="s">
        <v>1182</v>
      </c>
      <c r="AC57" s="580"/>
      <c r="AD57" s="710"/>
      <c r="AI57" s="581" t="s">
        <v>214</v>
      </c>
      <c r="AJ57" s="104" t="s">
        <v>395</v>
      </c>
      <c r="AO57" s="1152" t="s">
        <v>238</v>
      </c>
      <c r="AP57" s="770" t="s">
        <v>393</v>
      </c>
      <c r="AQ57" s="1159" t="s">
        <v>265</v>
      </c>
      <c r="AR57" s="785" t="s">
        <v>1169</v>
      </c>
      <c r="AS57" s="1155">
        <v>76.47</v>
      </c>
    </row>
    <row r="58" spans="1:45" ht="13.8" x14ac:dyDescent="0.25">
      <c r="A58" s="105" t="s">
        <v>239</v>
      </c>
      <c r="B58" s="566">
        <v>123.4</v>
      </c>
      <c r="C58" s="566">
        <v>37.28</v>
      </c>
      <c r="D58" s="101" t="s">
        <v>239</v>
      </c>
      <c r="E58" s="101">
        <v>115.39</v>
      </c>
      <c r="F58" s="102">
        <v>34.86</v>
      </c>
      <c r="G58" s="103">
        <f t="shared" si="1"/>
        <v>17.43</v>
      </c>
      <c r="H58" s="553" t="s">
        <v>396</v>
      </c>
      <c r="I58" s="555">
        <v>144.24</v>
      </c>
      <c r="J58" s="550">
        <v>50.49</v>
      </c>
      <c r="K58" s="550">
        <f t="shared" si="2"/>
        <v>25.25</v>
      </c>
      <c r="L58" s="558"/>
      <c r="AC58" s="580"/>
      <c r="AD58" s="710"/>
      <c r="AI58" s="581" t="s">
        <v>215</v>
      </c>
      <c r="AJ58" s="104" t="s">
        <v>215</v>
      </c>
      <c r="AO58" s="1152" t="s">
        <v>239</v>
      </c>
      <c r="AP58" s="581" t="s">
        <v>214</v>
      </c>
      <c r="AQ58" s="1159" t="s">
        <v>267</v>
      </c>
      <c r="AR58" s="785" t="s">
        <v>1171</v>
      </c>
      <c r="AS58" s="1155">
        <v>73.099999999999994</v>
      </c>
    </row>
    <row r="59" spans="1:45" ht="13.8" x14ac:dyDescent="0.25">
      <c r="A59" s="105" t="s">
        <v>240</v>
      </c>
      <c r="B59" s="566">
        <v>109.26</v>
      </c>
      <c r="C59" s="566">
        <v>58.49</v>
      </c>
      <c r="D59" s="101" t="s">
        <v>240</v>
      </c>
      <c r="E59" s="101">
        <v>102.17</v>
      </c>
      <c r="F59" s="102">
        <v>54.69</v>
      </c>
      <c r="G59" s="103">
        <f t="shared" si="1"/>
        <v>27.35</v>
      </c>
      <c r="H59" s="553" t="s">
        <v>1202</v>
      </c>
      <c r="I59" s="555">
        <v>135.22999999999999</v>
      </c>
      <c r="J59" s="550">
        <v>40.869999999999997</v>
      </c>
      <c r="K59" s="550">
        <f t="shared" si="2"/>
        <v>20.440000000000001</v>
      </c>
      <c r="L59" s="558"/>
      <c r="AC59" s="580"/>
      <c r="AD59" s="710"/>
      <c r="AI59" s="581" t="s">
        <v>216</v>
      </c>
      <c r="AJ59" s="104" t="s">
        <v>216</v>
      </c>
      <c r="AO59" s="1152" t="s">
        <v>240</v>
      </c>
      <c r="AP59" s="581" t="s">
        <v>215</v>
      </c>
      <c r="AQ59" s="1159" t="s">
        <v>268</v>
      </c>
      <c r="AR59" s="785" t="s">
        <v>1168</v>
      </c>
      <c r="AS59" s="1155">
        <v>90.73</v>
      </c>
    </row>
    <row r="60" spans="1:45" ht="13.8" x14ac:dyDescent="0.25">
      <c r="A60" s="105" t="s">
        <v>241</v>
      </c>
      <c r="B60" s="566">
        <v>145.26</v>
      </c>
      <c r="C60" s="566">
        <v>59.77</v>
      </c>
      <c r="D60" s="101" t="s">
        <v>241</v>
      </c>
      <c r="E60" s="101">
        <v>135.83000000000001</v>
      </c>
      <c r="F60" s="102">
        <v>55.89</v>
      </c>
      <c r="G60" s="103">
        <f t="shared" si="1"/>
        <v>27.95</v>
      </c>
      <c r="H60" s="553" t="s">
        <v>397</v>
      </c>
      <c r="I60" s="555">
        <v>119.6</v>
      </c>
      <c r="J60" s="550">
        <v>62.51</v>
      </c>
      <c r="K60" s="550">
        <f t="shared" si="2"/>
        <v>31.26</v>
      </c>
      <c r="L60" s="558"/>
      <c r="AC60" s="580"/>
      <c r="AD60" s="710"/>
      <c r="AI60" s="770" t="s">
        <v>398</v>
      </c>
      <c r="AJ60" s="104" t="s">
        <v>177</v>
      </c>
      <c r="AO60" s="1152" t="s">
        <v>241</v>
      </c>
      <c r="AP60" s="581" t="s">
        <v>216</v>
      </c>
      <c r="AQ60" s="1159" t="s">
        <v>269</v>
      </c>
      <c r="AR60" s="785" t="s">
        <v>1168</v>
      </c>
      <c r="AS60" s="1155">
        <v>88.7</v>
      </c>
    </row>
    <row r="61" spans="1:45" ht="13.8" x14ac:dyDescent="0.25">
      <c r="A61" s="105" t="s">
        <v>242</v>
      </c>
      <c r="B61" s="566">
        <v>98.33</v>
      </c>
      <c r="C61" s="566">
        <v>36.64</v>
      </c>
      <c r="D61" s="101" t="s">
        <v>242</v>
      </c>
      <c r="E61" s="101">
        <v>91.95</v>
      </c>
      <c r="F61" s="102">
        <v>34.26</v>
      </c>
      <c r="G61" s="103">
        <f t="shared" si="1"/>
        <v>17.13</v>
      </c>
      <c r="H61" s="553" t="s">
        <v>399</v>
      </c>
      <c r="I61" s="555">
        <v>159.27000000000001</v>
      </c>
      <c r="J61" s="550">
        <v>63.11</v>
      </c>
      <c r="K61" s="550">
        <f t="shared" si="2"/>
        <v>31.56</v>
      </c>
      <c r="L61" s="558"/>
      <c r="AC61" s="580"/>
      <c r="AD61" s="710"/>
      <c r="AI61" s="581" t="s">
        <v>217</v>
      </c>
      <c r="AJ61" s="104" t="s">
        <v>217</v>
      </c>
      <c r="AO61" s="1152" t="s">
        <v>242</v>
      </c>
      <c r="AP61" s="770" t="s">
        <v>398</v>
      </c>
      <c r="AQ61" s="1159" t="s">
        <v>271</v>
      </c>
      <c r="AR61" s="785" t="s">
        <v>1169</v>
      </c>
      <c r="AS61" s="1155">
        <v>71.67</v>
      </c>
    </row>
    <row r="62" spans="1:45" ht="14.4" x14ac:dyDescent="0.3">
      <c r="A62" s="105" t="s">
        <v>243</v>
      </c>
      <c r="B62" s="566">
        <v>49.49</v>
      </c>
      <c r="C62" s="566">
        <v>34.06</v>
      </c>
      <c r="D62" s="101" t="s">
        <v>243</v>
      </c>
      <c r="E62" s="101">
        <v>46.28</v>
      </c>
      <c r="F62" s="102">
        <v>31.85</v>
      </c>
      <c r="G62" s="103">
        <f t="shared" si="1"/>
        <v>15.93</v>
      </c>
      <c r="H62" s="553" t="s">
        <v>400</v>
      </c>
      <c r="I62" s="555">
        <v>108.18</v>
      </c>
      <c r="J62" s="550">
        <v>39.67</v>
      </c>
      <c r="K62" s="550">
        <f t="shared" si="2"/>
        <v>19.84</v>
      </c>
      <c r="L62" s="558"/>
      <c r="AC62" s="580"/>
      <c r="AD62" s="710"/>
      <c r="AI62" s="771" t="s">
        <v>368</v>
      </c>
      <c r="AJ62" s="756" t="s">
        <v>401</v>
      </c>
      <c r="AO62" s="1152" t="s">
        <v>243</v>
      </c>
      <c r="AP62" s="581" t="s">
        <v>217</v>
      </c>
      <c r="AQ62" s="1159" t="s">
        <v>272</v>
      </c>
      <c r="AR62" s="785" t="s">
        <v>1171</v>
      </c>
      <c r="AS62" s="1155">
        <v>72.069999999999993</v>
      </c>
    </row>
    <row r="63" spans="1:45" ht="14.4" x14ac:dyDescent="0.3">
      <c r="A63" s="105" t="s">
        <v>244</v>
      </c>
      <c r="B63" s="566">
        <v>106.05</v>
      </c>
      <c r="C63" s="566">
        <v>42.42</v>
      </c>
      <c r="D63" s="101" t="s">
        <v>244</v>
      </c>
      <c r="E63" s="101">
        <v>99.17</v>
      </c>
      <c r="F63" s="102">
        <v>39.67</v>
      </c>
      <c r="G63" s="103">
        <f t="shared" si="1"/>
        <v>19.84</v>
      </c>
      <c r="H63" s="553" t="s">
        <v>402</v>
      </c>
      <c r="I63" s="555">
        <v>54.09</v>
      </c>
      <c r="J63" s="550">
        <v>37.26</v>
      </c>
      <c r="K63" s="550">
        <f t="shared" si="2"/>
        <v>18.63</v>
      </c>
      <c r="L63" s="558"/>
      <c r="AI63" s="770" t="s">
        <v>403</v>
      </c>
      <c r="AJ63" s="104" t="s">
        <v>177</v>
      </c>
      <c r="AO63" s="1152" t="s">
        <v>244</v>
      </c>
      <c r="AP63" s="773" t="s">
        <v>368</v>
      </c>
      <c r="AQ63" s="1159" t="s">
        <v>503</v>
      </c>
      <c r="AR63" s="785" t="s">
        <v>1168</v>
      </c>
      <c r="AS63" s="1155">
        <v>72.430000000000007</v>
      </c>
    </row>
    <row r="64" spans="1:45" ht="13.8" x14ac:dyDescent="0.25">
      <c r="A64" s="105" t="s">
        <v>245</v>
      </c>
      <c r="B64" s="566">
        <v>52.7</v>
      </c>
      <c r="C64" s="566">
        <v>41.78</v>
      </c>
      <c r="D64" s="101" t="s">
        <v>245</v>
      </c>
      <c r="E64" s="101">
        <v>49.28</v>
      </c>
      <c r="F64" s="102">
        <v>39.07</v>
      </c>
      <c r="G64" s="103">
        <f t="shared" si="1"/>
        <v>19.54</v>
      </c>
      <c r="H64" s="553" t="s">
        <v>404</v>
      </c>
      <c r="I64" s="555">
        <v>116.6</v>
      </c>
      <c r="J64" s="550">
        <v>45.68</v>
      </c>
      <c r="K64" s="550">
        <f t="shared" si="2"/>
        <v>22.84</v>
      </c>
      <c r="L64" s="558"/>
      <c r="V64" s="572"/>
      <c r="X64" s="153"/>
      <c r="Y64" s="153"/>
      <c r="AI64" s="770" t="s">
        <v>405</v>
      </c>
      <c r="AJ64" s="104" t="s">
        <v>177</v>
      </c>
      <c r="AO64" s="1152" t="s">
        <v>245</v>
      </c>
      <c r="AP64" s="770" t="s">
        <v>403</v>
      </c>
      <c r="AQ64" s="1159" t="s">
        <v>275</v>
      </c>
      <c r="AR64" s="785" t="s">
        <v>1170</v>
      </c>
      <c r="AS64" s="1155">
        <v>71.67</v>
      </c>
    </row>
    <row r="65" spans="1:45" ht="14.4" x14ac:dyDescent="0.3">
      <c r="A65" s="105" t="s">
        <v>246</v>
      </c>
      <c r="B65" s="566">
        <v>87.41</v>
      </c>
      <c r="C65" s="566">
        <v>46.27</v>
      </c>
      <c r="D65" s="101" t="s">
        <v>246</v>
      </c>
      <c r="E65" s="101">
        <v>81.739999999999995</v>
      </c>
      <c r="F65" s="102">
        <v>43.27</v>
      </c>
      <c r="G65" s="103">
        <f t="shared" si="1"/>
        <v>21.64</v>
      </c>
      <c r="H65" s="553" t="s">
        <v>406</v>
      </c>
      <c r="I65" s="555">
        <v>57.7</v>
      </c>
      <c r="J65" s="550">
        <v>45.08</v>
      </c>
      <c r="K65" s="550">
        <f t="shared" si="2"/>
        <v>22.54</v>
      </c>
      <c r="L65" s="558"/>
      <c r="AI65" s="772" t="s">
        <v>370</v>
      </c>
      <c r="AJ65" s="104" t="s">
        <v>177</v>
      </c>
      <c r="AO65" s="1152" t="s">
        <v>246</v>
      </c>
      <c r="AP65" s="770" t="s">
        <v>405</v>
      </c>
      <c r="AQ65" s="1170" t="s">
        <v>1180</v>
      </c>
      <c r="AR65" s="165" t="s">
        <v>1168</v>
      </c>
      <c r="AS65" s="580">
        <v>71.67</v>
      </c>
    </row>
    <row r="66" spans="1:45" ht="14.4" x14ac:dyDescent="0.3">
      <c r="A66" s="105" t="s">
        <v>247</v>
      </c>
      <c r="B66" s="566">
        <v>71.98</v>
      </c>
      <c r="C66" s="566">
        <v>45.63</v>
      </c>
      <c r="D66" s="101" t="s">
        <v>247</v>
      </c>
      <c r="E66" s="101">
        <v>67.31</v>
      </c>
      <c r="F66" s="102">
        <v>42.67</v>
      </c>
      <c r="G66" s="103">
        <f t="shared" si="1"/>
        <v>21.34</v>
      </c>
      <c r="H66" s="553" t="s">
        <v>1203</v>
      </c>
      <c r="I66" s="555">
        <v>96.16</v>
      </c>
      <c r="J66" s="550">
        <v>49.88</v>
      </c>
      <c r="K66" s="550">
        <f t="shared" si="2"/>
        <v>24.94</v>
      </c>
      <c r="L66" s="558"/>
      <c r="AI66" s="581" t="s">
        <v>220</v>
      </c>
      <c r="AJ66" s="104" t="s">
        <v>220</v>
      </c>
      <c r="AO66" s="1152" t="s">
        <v>468</v>
      </c>
      <c r="AP66" s="773" t="s">
        <v>370</v>
      </c>
      <c r="AQ66" s="1170" t="s">
        <v>1185</v>
      </c>
      <c r="AR66" s="165" t="s">
        <v>1169</v>
      </c>
      <c r="AS66" s="580">
        <v>71.67</v>
      </c>
    </row>
    <row r="67" spans="1:45" ht="13.8" x14ac:dyDescent="0.25">
      <c r="A67" s="105" t="s">
        <v>248</v>
      </c>
      <c r="B67" s="566">
        <v>100.91</v>
      </c>
      <c r="C67" s="566">
        <v>56.56</v>
      </c>
      <c r="D67" s="101" t="s">
        <v>248</v>
      </c>
      <c r="E67" s="101">
        <v>94.36</v>
      </c>
      <c r="F67" s="102">
        <v>52.89</v>
      </c>
      <c r="G67" s="103">
        <f t="shared" ref="G67:G83" si="8">F67/2</f>
        <v>26.45</v>
      </c>
      <c r="H67" s="553" t="s">
        <v>407</v>
      </c>
      <c r="I67" s="555">
        <v>78.73</v>
      </c>
      <c r="J67" s="550">
        <v>48.08</v>
      </c>
      <c r="K67" s="550">
        <f t="shared" si="2"/>
        <v>24.04</v>
      </c>
      <c r="L67" s="558"/>
      <c r="AI67" s="581" t="s">
        <v>221</v>
      </c>
      <c r="AJ67" s="104" t="s">
        <v>221</v>
      </c>
      <c r="AO67" s="1152" t="s">
        <v>247</v>
      </c>
      <c r="AP67" s="581" t="s">
        <v>220</v>
      </c>
      <c r="AQ67" s="1170" t="s">
        <v>1179</v>
      </c>
      <c r="AR67" s="165" t="s">
        <v>1170</v>
      </c>
      <c r="AS67" s="580">
        <v>71.67</v>
      </c>
    </row>
    <row r="68" spans="1:45" ht="13.8" x14ac:dyDescent="0.25">
      <c r="A68" s="105" t="s">
        <v>249</v>
      </c>
      <c r="B68" s="566">
        <v>125.98</v>
      </c>
      <c r="C68" s="566">
        <v>50.13</v>
      </c>
      <c r="D68" s="101" t="s">
        <v>249</v>
      </c>
      <c r="E68" s="101">
        <v>117.8</v>
      </c>
      <c r="F68" s="102">
        <v>46.58</v>
      </c>
      <c r="G68" s="103">
        <f t="shared" si="8"/>
        <v>23.29</v>
      </c>
      <c r="H68" s="553" t="s">
        <v>408</v>
      </c>
      <c r="I68" s="555">
        <v>110.59</v>
      </c>
      <c r="J68" s="550">
        <v>61.9</v>
      </c>
      <c r="K68" s="550">
        <f t="shared" ref="K68:K100" si="9">J68/2</f>
        <v>30.95</v>
      </c>
      <c r="L68" s="558"/>
      <c r="AI68" s="770" t="s">
        <v>409</v>
      </c>
      <c r="AJ68" s="104" t="s">
        <v>177</v>
      </c>
      <c r="AO68" s="1152" t="s">
        <v>248</v>
      </c>
      <c r="AP68" s="581" t="s">
        <v>221</v>
      </c>
      <c r="AQ68" s="1170" t="s">
        <v>1181</v>
      </c>
      <c r="AR68" s="165" t="s">
        <v>1172</v>
      </c>
      <c r="AS68" s="580">
        <v>72.069999999999993</v>
      </c>
    </row>
    <row r="69" spans="1:45" ht="13.8" x14ac:dyDescent="0.25">
      <c r="A69" s="105" t="s">
        <v>250</v>
      </c>
      <c r="B69" s="566">
        <v>142.04</v>
      </c>
      <c r="C69" s="566">
        <v>86.13</v>
      </c>
      <c r="D69" s="101" t="s">
        <v>250</v>
      </c>
      <c r="E69" s="101">
        <v>132.82</v>
      </c>
      <c r="F69" s="102">
        <v>80.540000000000006</v>
      </c>
      <c r="G69" s="103">
        <f t="shared" si="8"/>
        <v>40.270000000000003</v>
      </c>
      <c r="H69" s="553" t="s">
        <v>410</v>
      </c>
      <c r="I69" s="555">
        <v>138.22999999999999</v>
      </c>
      <c r="J69" s="550">
        <v>51.69</v>
      </c>
      <c r="K69" s="550">
        <f t="shared" si="9"/>
        <v>25.85</v>
      </c>
      <c r="L69" s="558"/>
      <c r="AI69" s="770" t="s">
        <v>411</v>
      </c>
      <c r="AJ69" s="104" t="s">
        <v>177</v>
      </c>
      <c r="AO69" s="1152" t="s">
        <v>249</v>
      </c>
      <c r="AP69" s="770" t="s">
        <v>409</v>
      </c>
      <c r="AQ69" s="1170" t="s">
        <v>1184</v>
      </c>
      <c r="AR69" s="165" t="s">
        <v>1171</v>
      </c>
      <c r="AS69" s="580">
        <v>72.069999999999993</v>
      </c>
    </row>
    <row r="70" spans="1:45" ht="13.8" x14ac:dyDescent="0.25">
      <c r="A70" s="105" t="s">
        <v>251</v>
      </c>
      <c r="B70" s="566">
        <v>70.06</v>
      </c>
      <c r="C70" s="566">
        <v>43.06</v>
      </c>
      <c r="D70" s="101" t="s">
        <v>251</v>
      </c>
      <c r="E70" s="101">
        <v>65.510000000000005</v>
      </c>
      <c r="F70" s="102">
        <v>40.270000000000003</v>
      </c>
      <c r="G70" s="103">
        <f t="shared" si="8"/>
        <v>20.14</v>
      </c>
      <c r="H70" s="553" t="s">
        <v>412</v>
      </c>
      <c r="I70" s="555">
        <v>156.26</v>
      </c>
      <c r="J70" s="550">
        <v>89.55</v>
      </c>
      <c r="K70" s="550">
        <f t="shared" si="9"/>
        <v>44.78</v>
      </c>
      <c r="L70" s="558"/>
      <c r="AI70" s="581" t="s">
        <v>222</v>
      </c>
      <c r="AJ70" s="104" t="s">
        <v>222</v>
      </c>
      <c r="AO70" s="1152" t="s">
        <v>250</v>
      </c>
      <c r="AP70" s="770" t="s">
        <v>411</v>
      </c>
      <c r="AQ70" s="104"/>
      <c r="AR70" s="104"/>
    </row>
    <row r="71" spans="1:45" ht="13.8" x14ac:dyDescent="0.25">
      <c r="A71" s="105" t="s">
        <v>252</v>
      </c>
      <c r="B71" s="566">
        <v>135.61000000000001</v>
      </c>
      <c r="C71" s="566">
        <v>68.77</v>
      </c>
      <c r="D71" s="101" t="s">
        <v>252</v>
      </c>
      <c r="E71" s="101">
        <v>126.81</v>
      </c>
      <c r="F71" s="102">
        <v>64.31</v>
      </c>
      <c r="G71" s="103">
        <f t="shared" si="8"/>
        <v>32.159999999999997</v>
      </c>
      <c r="H71" s="553" t="s">
        <v>413</v>
      </c>
      <c r="I71" s="555">
        <v>76.930000000000007</v>
      </c>
      <c r="J71" s="550">
        <v>46.28</v>
      </c>
      <c r="K71" s="550">
        <f t="shared" si="9"/>
        <v>23.14</v>
      </c>
      <c r="L71" s="558"/>
      <c r="AI71" s="770" t="s">
        <v>414</v>
      </c>
      <c r="AJ71" s="104" t="s">
        <v>177</v>
      </c>
      <c r="AO71" s="1152" t="s">
        <v>251</v>
      </c>
      <c r="AP71" s="581" t="s">
        <v>222</v>
      </c>
      <c r="AQ71" s="104"/>
      <c r="AR71" s="104"/>
    </row>
    <row r="72" spans="1:45" ht="13.8" x14ac:dyDescent="0.25">
      <c r="A72" s="105" t="s">
        <v>253</v>
      </c>
      <c r="B72" s="566">
        <v>62.35</v>
      </c>
      <c r="C72" s="566">
        <v>39.85</v>
      </c>
      <c r="D72" s="101" t="s">
        <v>253</v>
      </c>
      <c r="E72" s="101">
        <v>58.3</v>
      </c>
      <c r="F72" s="102">
        <v>37.26</v>
      </c>
      <c r="G72" s="103">
        <f t="shared" si="8"/>
        <v>18.63</v>
      </c>
      <c r="H72" s="553" t="s">
        <v>1204</v>
      </c>
      <c r="I72" s="555">
        <v>149.05000000000001</v>
      </c>
      <c r="J72" s="550">
        <v>71.52</v>
      </c>
      <c r="K72" s="550">
        <f t="shared" si="9"/>
        <v>35.76</v>
      </c>
      <c r="L72" s="558"/>
      <c r="AI72" s="581" t="s">
        <v>223</v>
      </c>
      <c r="AJ72" s="104" t="s">
        <v>415</v>
      </c>
      <c r="AO72" s="1152" t="s">
        <v>252</v>
      </c>
      <c r="AP72" s="770" t="s">
        <v>414</v>
      </c>
      <c r="AQ72" s="104"/>
      <c r="AR72" s="104"/>
    </row>
    <row r="73" spans="1:45" ht="13.8" x14ac:dyDescent="0.25">
      <c r="A73" s="105" t="s">
        <v>476</v>
      </c>
      <c r="B73" s="566">
        <v>69.41</v>
      </c>
      <c r="C73" s="566">
        <v>39.200000000000003</v>
      </c>
      <c r="D73" s="101" t="s">
        <v>476</v>
      </c>
      <c r="E73" s="101">
        <v>64.91</v>
      </c>
      <c r="F73" s="102">
        <v>36.659999999999997</v>
      </c>
      <c r="G73" s="103">
        <f t="shared" si="8"/>
        <v>18.329999999999998</v>
      </c>
      <c r="H73" s="553" t="s">
        <v>1212</v>
      </c>
      <c r="I73" s="555">
        <v>68.52</v>
      </c>
      <c r="J73" s="550">
        <v>43.27</v>
      </c>
      <c r="K73" s="550">
        <f t="shared" si="9"/>
        <v>21.64</v>
      </c>
      <c r="L73" s="558"/>
      <c r="AI73" s="581" t="s">
        <v>224</v>
      </c>
      <c r="AJ73" s="104" t="s">
        <v>224</v>
      </c>
      <c r="AO73" s="1152" t="s">
        <v>253</v>
      </c>
      <c r="AP73" s="581" t="s">
        <v>223</v>
      </c>
      <c r="AQ73" s="104"/>
      <c r="AR73" s="104"/>
    </row>
    <row r="74" spans="1:45" ht="13.8" x14ac:dyDescent="0.25">
      <c r="A74" s="105" t="s">
        <v>255</v>
      </c>
      <c r="B74" s="566">
        <v>48.85</v>
      </c>
      <c r="C74" s="566">
        <v>35.35</v>
      </c>
      <c r="D74" s="101" t="s">
        <v>255</v>
      </c>
      <c r="E74" s="101">
        <v>45.68</v>
      </c>
      <c r="F74" s="102">
        <v>33.06</v>
      </c>
      <c r="G74" s="103">
        <f t="shared" si="8"/>
        <v>16.53</v>
      </c>
      <c r="H74" s="553" t="s">
        <v>1205</v>
      </c>
      <c r="I74" s="555">
        <v>75.73</v>
      </c>
      <c r="J74" s="550">
        <v>42.07</v>
      </c>
      <c r="K74" s="550">
        <f t="shared" si="9"/>
        <v>21.04</v>
      </c>
      <c r="L74" s="558"/>
      <c r="AI74" s="581" t="s">
        <v>416</v>
      </c>
      <c r="AJ74" s="104" t="s">
        <v>416</v>
      </c>
      <c r="AO74" s="1152" t="s">
        <v>476</v>
      </c>
      <c r="AP74" s="581" t="s">
        <v>224</v>
      </c>
      <c r="AQ74" s="104"/>
      <c r="AR74" s="104"/>
    </row>
    <row r="75" spans="1:45" ht="13.8" x14ac:dyDescent="0.25">
      <c r="A75" s="105" t="s">
        <v>478</v>
      </c>
      <c r="B75" s="566">
        <v>85.48</v>
      </c>
      <c r="C75" s="566">
        <v>46.27</v>
      </c>
      <c r="D75" s="101" t="s">
        <v>478</v>
      </c>
      <c r="E75" s="101">
        <v>79.930000000000007</v>
      </c>
      <c r="F75" s="102">
        <v>43.27</v>
      </c>
      <c r="G75" s="103">
        <f t="shared" si="8"/>
        <v>21.64</v>
      </c>
      <c r="H75" s="553" t="s">
        <v>417</v>
      </c>
      <c r="I75" s="555">
        <v>53.49</v>
      </c>
      <c r="J75" s="550">
        <v>38.46</v>
      </c>
      <c r="K75" s="550">
        <f t="shared" si="9"/>
        <v>19.23</v>
      </c>
      <c r="L75" s="558"/>
      <c r="AI75" s="581" t="s">
        <v>226</v>
      </c>
      <c r="AJ75" s="104" t="s">
        <v>418</v>
      </c>
      <c r="AO75" s="1152" t="s">
        <v>255</v>
      </c>
      <c r="AP75" s="581" t="s">
        <v>416</v>
      </c>
      <c r="AQ75" s="104"/>
      <c r="AR75" s="104"/>
    </row>
    <row r="76" spans="1:45" ht="13.8" x14ac:dyDescent="0.25">
      <c r="A76" s="105" t="s">
        <v>257</v>
      </c>
      <c r="B76" s="566">
        <v>106.69</v>
      </c>
      <c r="C76" s="566">
        <v>45.63</v>
      </c>
      <c r="D76" s="101" t="s">
        <v>257</v>
      </c>
      <c r="E76" s="101">
        <v>99.77</v>
      </c>
      <c r="F76" s="102">
        <v>42.67</v>
      </c>
      <c r="G76" s="103">
        <f t="shared" si="8"/>
        <v>21.34</v>
      </c>
      <c r="H76" s="553" t="s">
        <v>1206</v>
      </c>
      <c r="I76" s="555">
        <v>93.76</v>
      </c>
      <c r="J76" s="550">
        <v>50.49</v>
      </c>
      <c r="K76" s="550">
        <f t="shared" si="9"/>
        <v>25.25</v>
      </c>
      <c r="L76" s="558"/>
      <c r="AI76" s="581" t="s">
        <v>227</v>
      </c>
      <c r="AJ76" s="104" t="s">
        <v>227</v>
      </c>
      <c r="AO76" s="1152" t="s">
        <v>478</v>
      </c>
      <c r="AP76" s="581" t="s">
        <v>226</v>
      </c>
      <c r="AQ76" s="104"/>
      <c r="AR76" s="104"/>
    </row>
    <row r="77" spans="1:45" ht="13.8" x14ac:dyDescent="0.25">
      <c r="A77" s="105" t="s">
        <v>258</v>
      </c>
      <c r="B77" s="566">
        <v>104.12</v>
      </c>
      <c r="C77" s="566">
        <v>46.91</v>
      </c>
      <c r="D77" s="101" t="s">
        <v>258</v>
      </c>
      <c r="E77" s="101">
        <v>97.36</v>
      </c>
      <c r="F77" s="102">
        <v>43.87</v>
      </c>
      <c r="G77" s="103">
        <f t="shared" si="8"/>
        <v>21.94</v>
      </c>
      <c r="H77" s="553" t="s">
        <v>419</v>
      </c>
      <c r="I77" s="555">
        <v>117.2</v>
      </c>
      <c r="J77" s="550">
        <v>48.68</v>
      </c>
      <c r="K77" s="550">
        <f t="shared" si="9"/>
        <v>24.34</v>
      </c>
      <c r="L77" s="558"/>
      <c r="AI77" s="581" t="s">
        <v>228</v>
      </c>
      <c r="AJ77" s="104" t="s">
        <v>228</v>
      </c>
      <c r="AO77" s="1152" t="s">
        <v>257</v>
      </c>
      <c r="AP77" s="581" t="s">
        <v>227</v>
      </c>
      <c r="AQ77" s="104"/>
      <c r="AR77" s="104"/>
    </row>
    <row r="78" spans="1:45" ht="13.8" x14ac:dyDescent="0.25">
      <c r="A78" s="105" t="s">
        <v>259</v>
      </c>
      <c r="B78" s="566">
        <v>167.75</v>
      </c>
      <c r="C78" s="566">
        <v>88.7</v>
      </c>
      <c r="D78" s="101" t="s">
        <v>259</v>
      </c>
      <c r="E78" s="101">
        <v>156.86000000000001</v>
      </c>
      <c r="F78" s="102">
        <v>82.94</v>
      </c>
      <c r="G78" s="103">
        <f t="shared" si="8"/>
        <v>41.47</v>
      </c>
      <c r="H78" s="553" t="s">
        <v>420</v>
      </c>
      <c r="I78" s="555">
        <v>114.19</v>
      </c>
      <c r="J78" s="550">
        <v>51.09</v>
      </c>
      <c r="K78" s="550">
        <f t="shared" si="9"/>
        <v>25.55</v>
      </c>
      <c r="L78" s="558"/>
      <c r="AI78" s="581" t="s">
        <v>229</v>
      </c>
      <c r="AJ78" s="104" t="s">
        <v>229</v>
      </c>
      <c r="AO78" s="1152" t="s">
        <v>258</v>
      </c>
      <c r="AP78" s="581" t="s">
        <v>228</v>
      </c>
      <c r="AQ78" s="104"/>
      <c r="AR78" s="104"/>
    </row>
    <row r="79" spans="1:45" ht="13.8" x14ac:dyDescent="0.25">
      <c r="A79" s="105" t="s">
        <v>260</v>
      </c>
      <c r="B79" s="566">
        <v>108.62</v>
      </c>
      <c r="C79" s="566">
        <v>46.27</v>
      </c>
      <c r="D79" s="101" t="s">
        <v>260</v>
      </c>
      <c r="E79" s="101">
        <v>101.57</v>
      </c>
      <c r="F79" s="102">
        <v>43.27</v>
      </c>
      <c r="G79" s="103">
        <f t="shared" si="8"/>
        <v>21.64</v>
      </c>
      <c r="H79" s="553" t="s">
        <v>421</v>
      </c>
      <c r="I79" s="555">
        <v>183.91</v>
      </c>
      <c r="J79" s="550">
        <v>91.35</v>
      </c>
      <c r="K79" s="550">
        <f t="shared" si="9"/>
        <v>45.68</v>
      </c>
      <c r="L79" s="558"/>
      <c r="AI79" s="581" t="s">
        <v>230</v>
      </c>
      <c r="AJ79" s="104" t="s">
        <v>422</v>
      </c>
      <c r="AO79" s="1152" t="s">
        <v>259</v>
      </c>
      <c r="AP79" s="581" t="s">
        <v>229</v>
      </c>
      <c r="AQ79" s="104"/>
      <c r="AR79" s="104"/>
    </row>
    <row r="80" spans="1:45" ht="13.8" x14ac:dyDescent="0.25">
      <c r="A80" s="105" t="s">
        <v>261</v>
      </c>
      <c r="B80" s="566">
        <v>68.77</v>
      </c>
      <c r="C80" s="566">
        <v>39.200000000000003</v>
      </c>
      <c r="D80" s="101" t="s">
        <v>261</v>
      </c>
      <c r="E80" s="101">
        <v>64.31</v>
      </c>
      <c r="F80" s="102">
        <v>36.659999999999997</v>
      </c>
      <c r="G80" s="103">
        <f t="shared" si="8"/>
        <v>18.329999999999998</v>
      </c>
      <c r="H80" s="553" t="s">
        <v>1207</v>
      </c>
      <c r="I80" s="555">
        <v>119</v>
      </c>
      <c r="J80" s="550">
        <v>49.88</v>
      </c>
      <c r="K80" s="550">
        <f t="shared" si="9"/>
        <v>24.94</v>
      </c>
      <c r="L80" s="558"/>
      <c r="AI80" s="581" t="s">
        <v>231</v>
      </c>
      <c r="AJ80" s="104" t="s">
        <v>231</v>
      </c>
      <c r="AO80" s="1152" t="s">
        <v>260</v>
      </c>
      <c r="AP80" s="581" t="s">
        <v>230</v>
      </c>
      <c r="AQ80" s="104"/>
      <c r="AR80" s="104"/>
    </row>
    <row r="81" spans="1:44" ht="13.8" x14ac:dyDescent="0.25">
      <c r="A81" s="105" t="s">
        <v>262</v>
      </c>
      <c r="B81" s="566">
        <v>135.61000000000001</v>
      </c>
      <c r="C81" s="566">
        <v>41.13</v>
      </c>
      <c r="D81" s="101" t="s">
        <v>262</v>
      </c>
      <c r="E81" s="101">
        <v>126.81</v>
      </c>
      <c r="F81" s="102">
        <v>38.46</v>
      </c>
      <c r="G81" s="103">
        <f t="shared" si="8"/>
        <v>19.23</v>
      </c>
      <c r="H81" s="553" t="s">
        <v>423</v>
      </c>
      <c r="I81" s="555">
        <v>149.05000000000001</v>
      </c>
      <c r="J81" s="550">
        <v>44.47</v>
      </c>
      <c r="K81" s="550">
        <f t="shared" si="9"/>
        <v>22.24</v>
      </c>
      <c r="L81" s="558"/>
      <c r="AI81" s="770" t="s">
        <v>424</v>
      </c>
      <c r="AJ81" s="104" t="s">
        <v>177</v>
      </c>
      <c r="AO81" s="1152" t="s">
        <v>261</v>
      </c>
      <c r="AP81" s="581" t="s">
        <v>231</v>
      </c>
      <c r="AQ81" s="104"/>
      <c r="AR81" s="104"/>
    </row>
    <row r="82" spans="1:44" ht="13.8" x14ac:dyDescent="0.25">
      <c r="A82" s="105" t="s">
        <v>263</v>
      </c>
      <c r="B82" s="566">
        <v>243.59</v>
      </c>
      <c r="C82" s="566">
        <v>78.41</v>
      </c>
      <c r="D82" s="101" t="s">
        <v>263</v>
      </c>
      <c r="E82" s="101">
        <v>227.78</v>
      </c>
      <c r="F82" s="102">
        <v>73.319999999999993</v>
      </c>
      <c r="G82" s="103">
        <f t="shared" si="8"/>
        <v>36.659999999999997</v>
      </c>
      <c r="H82" s="553" t="s">
        <v>425</v>
      </c>
      <c r="I82" s="555">
        <v>267.45</v>
      </c>
      <c r="J82" s="550">
        <v>83.54</v>
      </c>
      <c r="K82" s="550">
        <f t="shared" si="9"/>
        <v>41.77</v>
      </c>
      <c r="L82" s="558"/>
      <c r="AI82" s="581" t="s">
        <v>232</v>
      </c>
      <c r="AJ82" s="104" t="s">
        <v>232</v>
      </c>
      <c r="AO82" s="1152" t="s">
        <v>177</v>
      </c>
      <c r="AP82" s="770" t="s">
        <v>424</v>
      </c>
      <c r="AQ82" s="104"/>
      <c r="AR82" s="104"/>
    </row>
    <row r="83" spans="1:44" ht="13.8" x14ac:dyDescent="0.25">
      <c r="A83" s="105" t="s">
        <v>264</v>
      </c>
      <c r="B83" s="566">
        <v>72.62</v>
      </c>
      <c r="C83" s="566">
        <v>48.21</v>
      </c>
      <c r="D83" s="101" t="s">
        <v>264</v>
      </c>
      <c r="E83" s="101">
        <v>67.91</v>
      </c>
      <c r="F83" s="102">
        <v>45.08</v>
      </c>
      <c r="G83" s="103">
        <f t="shared" si="8"/>
        <v>22.54</v>
      </c>
      <c r="H83" s="553" t="s">
        <v>426</v>
      </c>
      <c r="I83" s="555">
        <v>79.33</v>
      </c>
      <c r="J83" s="550">
        <v>51.09</v>
      </c>
      <c r="K83" s="550">
        <f t="shared" si="9"/>
        <v>25.55</v>
      </c>
      <c r="L83" s="558"/>
      <c r="AI83" s="581" t="s">
        <v>233</v>
      </c>
      <c r="AJ83" s="104" t="s">
        <v>233</v>
      </c>
      <c r="AO83" s="1152" t="s">
        <v>262</v>
      </c>
      <c r="AP83" s="581" t="s">
        <v>232</v>
      </c>
      <c r="AQ83" s="104"/>
      <c r="AR83" s="104"/>
    </row>
    <row r="84" spans="1:44" ht="13.8" x14ac:dyDescent="0.25">
      <c r="A84" s="105" t="s">
        <v>165</v>
      </c>
      <c r="B84" s="566">
        <v>116.33</v>
      </c>
      <c r="C84" s="566">
        <v>43.71</v>
      </c>
      <c r="D84" s="107" t="s">
        <v>165</v>
      </c>
      <c r="E84" s="101">
        <v>98.57</v>
      </c>
      <c r="F84" s="102">
        <v>49.88</v>
      </c>
      <c r="G84" s="103">
        <f t="shared" ref="G84:G100" si="10">F84/2</f>
        <v>24.94</v>
      </c>
      <c r="H84" s="553" t="s">
        <v>427</v>
      </c>
      <c r="I84" s="555">
        <v>99.77</v>
      </c>
      <c r="J84" s="550">
        <v>54.09</v>
      </c>
      <c r="K84" s="550">
        <f t="shared" si="9"/>
        <v>27.05</v>
      </c>
      <c r="L84" s="558"/>
      <c r="AI84" s="581" t="s">
        <v>234</v>
      </c>
      <c r="AJ84" s="104" t="s">
        <v>234</v>
      </c>
      <c r="AO84" s="1152" t="s">
        <v>263</v>
      </c>
      <c r="AP84" s="581" t="s">
        <v>233</v>
      </c>
      <c r="AQ84" s="104"/>
      <c r="AR84" s="104"/>
    </row>
    <row r="85" spans="1:44" ht="13.8" x14ac:dyDescent="0.25">
      <c r="A85" s="105" t="s">
        <v>265</v>
      </c>
      <c r="B85" s="566">
        <v>91.26</v>
      </c>
      <c r="C85" s="566">
        <v>51.42</v>
      </c>
      <c r="D85" s="101" t="s">
        <v>265</v>
      </c>
      <c r="E85" s="101">
        <v>85.34</v>
      </c>
      <c r="F85" s="102">
        <v>48.08</v>
      </c>
      <c r="G85" s="103">
        <f t="shared" si="10"/>
        <v>24.04</v>
      </c>
      <c r="H85" s="553" t="s">
        <v>428</v>
      </c>
      <c r="I85" s="555">
        <v>97.96</v>
      </c>
      <c r="J85" s="550">
        <v>52.29</v>
      </c>
      <c r="K85" s="550">
        <f t="shared" si="9"/>
        <v>26.15</v>
      </c>
      <c r="L85" s="558"/>
      <c r="AI85" s="581" t="s">
        <v>235</v>
      </c>
      <c r="AJ85" s="104" t="s">
        <v>235</v>
      </c>
      <c r="AO85" s="1152" t="s">
        <v>264</v>
      </c>
      <c r="AP85" s="581" t="s">
        <v>234</v>
      </c>
      <c r="AQ85" s="104"/>
      <c r="AR85" s="104"/>
    </row>
    <row r="86" spans="1:44" ht="13.8" x14ac:dyDescent="0.25">
      <c r="A86" s="105" t="s">
        <v>266</v>
      </c>
      <c r="B86" s="566">
        <v>89.34</v>
      </c>
      <c r="C86" s="566">
        <v>49.49</v>
      </c>
      <c r="D86" s="101" t="s">
        <v>266</v>
      </c>
      <c r="E86" s="101">
        <v>83.54</v>
      </c>
      <c r="F86" s="102">
        <v>46.28</v>
      </c>
      <c r="G86" s="103">
        <f t="shared" si="10"/>
        <v>23.14</v>
      </c>
      <c r="H86" s="553" t="s">
        <v>1208</v>
      </c>
      <c r="I86" s="555">
        <v>75.13</v>
      </c>
      <c r="J86" s="550">
        <v>55.89</v>
      </c>
      <c r="K86" s="550">
        <f t="shared" si="9"/>
        <v>27.95</v>
      </c>
      <c r="L86" s="558"/>
      <c r="AI86" s="581" t="s">
        <v>236</v>
      </c>
      <c r="AJ86" s="104" t="s">
        <v>236</v>
      </c>
      <c r="AO86" s="1152" t="s">
        <v>487</v>
      </c>
      <c r="AP86" s="581" t="s">
        <v>235</v>
      </c>
      <c r="AQ86" s="104"/>
      <c r="AR86" s="104"/>
    </row>
    <row r="87" spans="1:44" ht="13.8" x14ac:dyDescent="0.25">
      <c r="A87" s="105" t="s">
        <v>267</v>
      </c>
      <c r="B87" s="566">
        <v>68.77</v>
      </c>
      <c r="C87" s="566">
        <v>51.42</v>
      </c>
      <c r="D87" s="101" t="s">
        <v>267</v>
      </c>
      <c r="E87" s="101">
        <v>64.31</v>
      </c>
      <c r="F87" s="102">
        <v>48.08</v>
      </c>
      <c r="G87" s="103">
        <f t="shared" si="10"/>
        <v>24.04</v>
      </c>
      <c r="H87" s="553" t="s">
        <v>429</v>
      </c>
      <c r="I87" s="555">
        <v>173.09</v>
      </c>
      <c r="J87" s="550">
        <v>82.34</v>
      </c>
      <c r="K87" s="550">
        <f t="shared" si="9"/>
        <v>41.17</v>
      </c>
      <c r="L87" s="558"/>
      <c r="AI87" s="770" t="s">
        <v>430</v>
      </c>
      <c r="AJ87" s="104" t="s">
        <v>177</v>
      </c>
      <c r="AO87" s="1152" t="s">
        <v>265</v>
      </c>
      <c r="AP87" s="581" t="s">
        <v>236</v>
      </c>
      <c r="AQ87" s="104"/>
      <c r="AR87" s="104"/>
    </row>
    <row r="88" spans="1:44" ht="13.8" x14ac:dyDescent="0.25">
      <c r="A88" s="105" t="s">
        <v>268</v>
      </c>
      <c r="B88" s="566">
        <v>157.47</v>
      </c>
      <c r="C88" s="566">
        <v>80.34</v>
      </c>
      <c r="D88" s="101" t="s">
        <v>268</v>
      </c>
      <c r="E88" s="101">
        <v>147.25</v>
      </c>
      <c r="F88" s="102">
        <v>75.13</v>
      </c>
      <c r="G88" s="103">
        <f t="shared" si="10"/>
        <v>37.57</v>
      </c>
      <c r="H88" s="553" t="s">
        <v>431</v>
      </c>
      <c r="I88" s="555">
        <v>174.29</v>
      </c>
      <c r="J88" s="550">
        <v>69.12</v>
      </c>
      <c r="K88" s="550">
        <f t="shared" si="9"/>
        <v>34.56</v>
      </c>
      <c r="L88" s="558"/>
      <c r="AI88" s="581" t="s">
        <v>237</v>
      </c>
      <c r="AJ88" s="104" t="s">
        <v>237</v>
      </c>
      <c r="AO88" s="1152" t="s">
        <v>266</v>
      </c>
      <c r="AP88" s="770" t="s">
        <v>430</v>
      </c>
      <c r="AQ88" s="104"/>
      <c r="AR88" s="104"/>
    </row>
    <row r="89" spans="1:44" ht="13.8" x14ac:dyDescent="0.25">
      <c r="A89" s="105" t="s">
        <v>269</v>
      </c>
      <c r="B89" s="566">
        <v>158.75</v>
      </c>
      <c r="C89" s="566">
        <v>65.55</v>
      </c>
      <c r="D89" s="101" t="s">
        <v>269</v>
      </c>
      <c r="E89" s="101">
        <v>148.44999999999999</v>
      </c>
      <c r="F89" s="102">
        <v>61.3</v>
      </c>
      <c r="G89" s="103">
        <f t="shared" si="10"/>
        <v>30.65</v>
      </c>
      <c r="H89" s="553" t="s">
        <v>432</v>
      </c>
      <c r="I89" s="555">
        <v>81.14</v>
      </c>
      <c r="J89" s="550">
        <v>45.08</v>
      </c>
      <c r="K89" s="550">
        <f t="shared" si="9"/>
        <v>22.54</v>
      </c>
      <c r="L89" s="558"/>
      <c r="AI89" s="770" t="s">
        <v>433</v>
      </c>
      <c r="AJ89" s="104" t="s">
        <v>177</v>
      </c>
      <c r="AO89" s="1152" t="s">
        <v>267</v>
      </c>
      <c r="AP89" s="581" t="s">
        <v>237</v>
      </c>
      <c r="AQ89" s="104"/>
      <c r="AR89" s="104"/>
    </row>
    <row r="90" spans="1:44" ht="13.8" x14ac:dyDescent="0.25">
      <c r="A90" s="105" t="s">
        <v>270</v>
      </c>
      <c r="B90" s="566">
        <v>73.92</v>
      </c>
      <c r="C90" s="566">
        <v>41.78</v>
      </c>
      <c r="D90" s="101" t="s">
        <v>270</v>
      </c>
      <c r="E90" s="101">
        <v>69.12</v>
      </c>
      <c r="F90" s="102">
        <v>39.07</v>
      </c>
      <c r="G90" s="103">
        <f t="shared" si="10"/>
        <v>19.54</v>
      </c>
      <c r="H90" s="553" t="s">
        <v>1209</v>
      </c>
      <c r="I90" s="555">
        <v>96.16</v>
      </c>
      <c r="J90" s="550">
        <v>54.09</v>
      </c>
      <c r="K90" s="550">
        <f t="shared" si="9"/>
        <v>27.05</v>
      </c>
      <c r="L90" s="558"/>
      <c r="AI90" s="581" t="s">
        <v>238</v>
      </c>
      <c r="AJ90" s="104" t="s">
        <v>238</v>
      </c>
      <c r="AO90" s="1152" t="s">
        <v>268</v>
      </c>
      <c r="AP90" s="770" t="s">
        <v>433</v>
      </c>
      <c r="AQ90" s="104"/>
      <c r="AR90" s="104"/>
    </row>
    <row r="91" spans="1:44" ht="13.8" x14ac:dyDescent="0.25">
      <c r="A91" s="105" t="s">
        <v>271</v>
      </c>
      <c r="B91" s="566">
        <v>87.41</v>
      </c>
      <c r="C91" s="566">
        <v>52.06</v>
      </c>
      <c r="D91" s="101" t="s">
        <v>271</v>
      </c>
      <c r="E91" s="101">
        <v>81.739999999999995</v>
      </c>
      <c r="F91" s="102">
        <v>48.68</v>
      </c>
      <c r="G91" s="103">
        <f t="shared" si="10"/>
        <v>24.34</v>
      </c>
      <c r="H91" s="553" t="s">
        <v>434</v>
      </c>
      <c r="I91" s="555">
        <v>90.15</v>
      </c>
      <c r="J91" s="550">
        <v>34.86</v>
      </c>
      <c r="K91" s="550">
        <f t="shared" si="9"/>
        <v>17.43</v>
      </c>
      <c r="L91" s="558"/>
      <c r="AI91" s="770" t="s">
        <v>435</v>
      </c>
      <c r="AJ91" s="104" t="s">
        <v>177</v>
      </c>
      <c r="AO91" s="1152" t="s">
        <v>269</v>
      </c>
      <c r="AP91" s="581" t="s">
        <v>238</v>
      </c>
      <c r="AQ91" s="104"/>
      <c r="AR91" s="104"/>
    </row>
    <row r="92" spans="1:44" ht="13.8" x14ac:dyDescent="0.25">
      <c r="A92" s="105" t="s">
        <v>272</v>
      </c>
      <c r="B92" s="566">
        <v>82.27</v>
      </c>
      <c r="C92" s="566">
        <v>32.14</v>
      </c>
      <c r="D92" s="101" t="s">
        <v>272</v>
      </c>
      <c r="E92" s="101">
        <v>76.930000000000007</v>
      </c>
      <c r="F92" s="102">
        <v>30.05</v>
      </c>
      <c r="G92" s="103">
        <f t="shared" si="10"/>
        <v>15.03</v>
      </c>
      <c r="H92" s="553" t="s">
        <v>1210</v>
      </c>
      <c r="I92" s="555">
        <v>60.7</v>
      </c>
      <c r="J92" s="550">
        <v>54.09</v>
      </c>
      <c r="K92" s="550">
        <f t="shared" si="9"/>
        <v>27.05</v>
      </c>
      <c r="L92" s="558"/>
      <c r="AI92" s="770" t="s">
        <v>436</v>
      </c>
      <c r="AJ92" s="104" t="s">
        <v>177</v>
      </c>
      <c r="AO92" s="1152" t="s">
        <v>270</v>
      </c>
      <c r="AP92" s="770" t="s">
        <v>435</v>
      </c>
      <c r="AQ92" s="104"/>
      <c r="AR92" s="104"/>
    </row>
    <row r="93" spans="1:44" ht="13.8" x14ac:dyDescent="0.25">
      <c r="A93" s="105" t="s">
        <v>273</v>
      </c>
      <c r="B93" s="566">
        <v>55.28</v>
      </c>
      <c r="C93" s="566">
        <v>49.49</v>
      </c>
      <c r="D93" s="101" t="s">
        <v>273</v>
      </c>
      <c r="E93" s="101">
        <v>51.69</v>
      </c>
      <c r="F93" s="102">
        <v>46.28</v>
      </c>
      <c r="G93" s="103">
        <f t="shared" si="10"/>
        <v>23.14</v>
      </c>
      <c r="H93" s="553" t="s">
        <v>1211</v>
      </c>
      <c r="I93" s="555">
        <v>72.12</v>
      </c>
      <c r="J93" s="550">
        <v>45.08</v>
      </c>
      <c r="K93" s="550">
        <f t="shared" si="9"/>
        <v>22.54</v>
      </c>
      <c r="L93" s="558"/>
      <c r="AI93" s="770" t="s">
        <v>437</v>
      </c>
      <c r="AJ93" s="104" t="s">
        <v>177</v>
      </c>
      <c r="AO93" s="1152" t="s">
        <v>271</v>
      </c>
      <c r="AP93" s="770" t="s">
        <v>436</v>
      </c>
      <c r="AQ93" s="104"/>
      <c r="AR93" s="104"/>
    </row>
    <row r="94" spans="1:44" ht="13.8" x14ac:dyDescent="0.25">
      <c r="A94" s="105" t="s">
        <v>503</v>
      </c>
      <c r="B94" s="566">
        <v>65.55</v>
      </c>
      <c r="C94" s="566">
        <v>41.78</v>
      </c>
      <c r="D94" s="101" t="s">
        <v>503</v>
      </c>
      <c r="E94" s="102">
        <v>61.3</v>
      </c>
      <c r="F94" s="102">
        <v>39.07</v>
      </c>
      <c r="G94" s="103">
        <f t="shared" si="10"/>
        <v>19.54</v>
      </c>
      <c r="H94" s="553" t="s">
        <v>438</v>
      </c>
      <c r="I94" s="555">
        <v>67.31</v>
      </c>
      <c r="J94" s="550">
        <v>46.68</v>
      </c>
      <c r="K94" s="550">
        <f t="shared" si="9"/>
        <v>23.34</v>
      </c>
      <c r="L94" s="558"/>
      <c r="AI94" s="581" t="s">
        <v>239</v>
      </c>
      <c r="AJ94" s="104" t="s">
        <v>439</v>
      </c>
      <c r="AO94" s="1152" t="s">
        <v>272</v>
      </c>
      <c r="AP94" s="770" t="s">
        <v>437</v>
      </c>
      <c r="AQ94" s="104"/>
      <c r="AR94" s="104"/>
    </row>
    <row r="95" spans="1:44" ht="13.8" x14ac:dyDescent="0.25">
      <c r="A95" s="105" t="s">
        <v>275</v>
      </c>
      <c r="B95" s="566">
        <v>61.7</v>
      </c>
      <c r="C95" s="566">
        <v>44.35</v>
      </c>
      <c r="D95" s="101" t="s">
        <v>275</v>
      </c>
      <c r="E95" s="102">
        <v>57.7</v>
      </c>
      <c r="F95" s="102">
        <v>41.47</v>
      </c>
      <c r="G95" s="103">
        <f t="shared" si="10"/>
        <v>20.74</v>
      </c>
      <c r="H95" s="553" t="s">
        <v>440</v>
      </c>
      <c r="I95" s="555">
        <v>91.35</v>
      </c>
      <c r="J95" s="550">
        <v>42.07</v>
      </c>
      <c r="K95" s="550">
        <f t="shared" si="9"/>
        <v>21.04</v>
      </c>
      <c r="L95" s="558"/>
      <c r="AI95" s="770" t="s">
        <v>441</v>
      </c>
      <c r="AJ95" s="104" t="s">
        <v>177</v>
      </c>
      <c r="AO95" s="1152" t="s">
        <v>273</v>
      </c>
      <c r="AP95" s="581" t="s">
        <v>239</v>
      </c>
      <c r="AQ95" s="104"/>
      <c r="AR95" s="104"/>
    </row>
    <row r="96" spans="1:44" ht="13.8" x14ac:dyDescent="0.25">
      <c r="A96" s="105" t="s">
        <v>276</v>
      </c>
      <c r="B96" s="566">
        <v>83.55</v>
      </c>
      <c r="C96" s="566">
        <v>38.56</v>
      </c>
      <c r="D96" s="101" t="s">
        <v>276</v>
      </c>
      <c r="E96" s="101">
        <v>78.13</v>
      </c>
      <c r="F96" s="102">
        <v>36.06</v>
      </c>
      <c r="G96" s="103">
        <f t="shared" si="10"/>
        <v>18.03</v>
      </c>
      <c r="H96" s="553" t="s">
        <v>442</v>
      </c>
      <c r="I96" s="555">
        <v>156.26</v>
      </c>
      <c r="J96" s="550">
        <v>49.28</v>
      </c>
      <c r="K96" s="550">
        <f t="shared" si="9"/>
        <v>24.64</v>
      </c>
      <c r="L96" s="558"/>
      <c r="AI96" s="581" t="s">
        <v>240</v>
      </c>
      <c r="AJ96" s="104" t="s">
        <v>240</v>
      </c>
      <c r="AO96" s="1152" t="s">
        <v>503</v>
      </c>
      <c r="AP96" s="770" t="s">
        <v>441</v>
      </c>
      <c r="AQ96" s="104"/>
      <c r="AR96" s="104"/>
    </row>
    <row r="97" spans="1:44" ht="13.8" x14ac:dyDescent="0.25">
      <c r="A97" s="105" t="s">
        <v>277</v>
      </c>
      <c r="B97" s="566">
        <v>142.04</v>
      </c>
      <c r="C97" s="566">
        <v>46.27</v>
      </c>
      <c r="D97" s="101" t="s">
        <v>277</v>
      </c>
      <c r="E97" s="101">
        <v>132.82</v>
      </c>
      <c r="F97" s="102">
        <v>43.27</v>
      </c>
      <c r="G97" s="103">
        <f t="shared" si="10"/>
        <v>21.64</v>
      </c>
      <c r="H97" s="553" t="s">
        <v>443</v>
      </c>
      <c r="I97" s="555">
        <v>115.39</v>
      </c>
      <c r="J97" s="550">
        <v>57.7</v>
      </c>
      <c r="K97" s="550">
        <f t="shared" si="9"/>
        <v>28.85</v>
      </c>
      <c r="L97" s="558"/>
      <c r="AI97" s="770" t="s">
        <v>444</v>
      </c>
      <c r="AJ97" s="104" t="s">
        <v>177</v>
      </c>
      <c r="AO97" s="1152" t="s">
        <v>275</v>
      </c>
      <c r="AP97" s="581" t="s">
        <v>240</v>
      </c>
      <c r="AQ97" s="104"/>
      <c r="AR97" s="104"/>
    </row>
    <row r="98" spans="1:44" ht="13.8" x14ac:dyDescent="0.25">
      <c r="A98" s="105" t="s">
        <v>278</v>
      </c>
      <c r="B98" s="566">
        <v>108.62</v>
      </c>
      <c r="C98" s="566">
        <v>57.84</v>
      </c>
      <c r="D98" s="101" t="s">
        <v>278</v>
      </c>
      <c r="E98" s="101">
        <v>101.57</v>
      </c>
      <c r="F98" s="102">
        <v>54.09</v>
      </c>
      <c r="G98" s="103">
        <f t="shared" si="10"/>
        <v>27.05</v>
      </c>
      <c r="H98" s="553" t="s">
        <v>445</v>
      </c>
      <c r="I98" s="555">
        <v>119</v>
      </c>
      <c r="J98" s="550">
        <v>60.7</v>
      </c>
      <c r="K98" s="550">
        <f t="shared" si="9"/>
        <v>30.35</v>
      </c>
      <c r="L98" s="558"/>
      <c r="AI98" s="770" t="s">
        <v>446</v>
      </c>
      <c r="AJ98" s="104" t="s">
        <v>177</v>
      </c>
      <c r="AO98" s="1152" t="s">
        <v>276</v>
      </c>
      <c r="AP98" s="770" t="s">
        <v>444</v>
      </c>
      <c r="AQ98" s="104"/>
      <c r="AR98" s="104"/>
    </row>
    <row r="99" spans="1:44" ht="13.8" x14ac:dyDescent="0.25">
      <c r="A99" s="105" t="s">
        <v>176</v>
      </c>
      <c r="B99" s="566">
        <v>82.27</v>
      </c>
      <c r="C99" s="566">
        <v>41.78</v>
      </c>
      <c r="D99" s="101" t="s">
        <v>176</v>
      </c>
      <c r="E99" s="101">
        <v>76.930000000000007</v>
      </c>
      <c r="F99" s="102">
        <v>39.07</v>
      </c>
      <c r="G99" s="103">
        <f t="shared" si="10"/>
        <v>19.54</v>
      </c>
      <c r="H99" s="553" t="s">
        <v>447</v>
      </c>
      <c r="I99" s="555">
        <v>90.15</v>
      </c>
      <c r="J99" s="550">
        <v>45.08</v>
      </c>
      <c r="K99" s="550">
        <f t="shared" si="9"/>
        <v>22.54</v>
      </c>
      <c r="L99" s="558"/>
      <c r="AI99" s="581" t="s">
        <v>241</v>
      </c>
      <c r="AJ99" s="104" t="s">
        <v>241</v>
      </c>
      <c r="AO99" s="1152" t="s">
        <v>277</v>
      </c>
      <c r="AP99" s="770" t="s">
        <v>446</v>
      </c>
      <c r="AQ99" s="104"/>
      <c r="AR99" s="104"/>
    </row>
    <row r="100" spans="1:44" ht="13.8" x14ac:dyDescent="0.25">
      <c r="A100" s="105" t="s">
        <v>177</v>
      </c>
      <c r="B100" s="566">
        <v>116.33</v>
      </c>
      <c r="C100" s="566">
        <v>43.71</v>
      </c>
      <c r="D100" s="101" t="s">
        <v>177</v>
      </c>
      <c r="E100" s="101">
        <v>108.78</v>
      </c>
      <c r="F100" s="102">
        <v>40.869999999999997</v>
      </c>
      <c r="G100" s="103">
        <f t="shared" si="10"/>
        <v>20.440000000000001</v>
      </c>
      <c r="H100" s="553" t="s">
        <v>448</v>
      </c>
      <c r="I100" s="555">
        <v>127.41</v>
      </c>
      <c r="J100" s="550">
        <v>46.88</v>
      </c>
      <c r="K100" s="550">
        <f t="shared" si="9"/>
        <v>23.44</v>
      </c>
      <c r="L100" s="558"/>
      <c r="AI100" s="770" t="s">
        <v>449</v>
      </c>
      <c r="AJ100" s="104" t="s">
        <v>177</v>
      </c>
      <c r="AO100" s="1152" t="s">
        <v>278</v>
      </c>
      <c r="AP100" s="581" t="s">
        <v>241</v>
      </c>
      <c r="AQ100" s="104"/>
      <c r="AR100" s="104"/>
    </row>
    <row r="101" spans="1:44" x14ac:dyDescent="0.25">
      <c r="H101" s="560"/>
      <c r="AI101" s="770" t="s">
        <v>450</v>
      </c>
      <c r="AJ101" s="104" t="s">
        <v>177</v>
      </c>
      <c r="AO101" s="1152" t="s">
        <v>176</v>
      </c>
      <c r="AP101" s="770" t="s">
        <v>449</v>
      </c>
      <c r="AQ101" s="104"/>
      <c r="AR101" s="104"/>
    </row>
    <row r="102" spans="1:44" x14ac:dyDescent="0.25">
      <c r="A102" s="1426" t="s">
        <v>279</v>
      </c>
      <c r="B102" s="1427"/>
      <c r="C102" s="593" t="s">
        <v>287</v>
      </c>
      <c r="D102" s="1422" t="s">
        <v>282</v>
      </c>
      <c r="E102" s="1422"/>
      <c r="F102" s="1422"/>
      <c r="G102" s="1422"/>
      <c r="H102" s="1423" t="s">
        <v>285</v>
      </c>
      <c r="I102" s="1424"/>
      <c r="J102" s="1424"/>
      <c r="K102" s="1425"/>
      <c r="AI102" s="581" t="s">
        <v>242</v>
      </c>
      <c r="AJ102" s="104" t="s">
        <v>242</v>
      </c>
      <c r="AO102" s="104"/>
      <c r="AP102" s="770" t="s">
        <v>450</v>
      </c>
      <c r="AQ102" s="104"/>
      <c r="AR102" s="104"/>
    </row>
    <row r="103" spans="1:44" x14ac:dyDescent="0.25">
      <c r="A103" s="105" t="s">
        <v>180</v>
      </c>
      <c r="C103" s="580">
        <f>$C3/2</f>
        <v>31.82</v>
      </c>
      <c r="E103" s="107" t="s">
        <v>451</v>
      </c>
      <c r="F103" s="101"/>
      <c r="H103" s="559" t="s">
        <v>451</v>
      </c>
      <c r="I103" s="559"/>
      <c r="AI103" s="770" t="s">
        <v>452</v>
      </c>
      <c r="AJ103" s="104" t="s">
        <v>177</v>
      </c>
      <c r="AO103" s="104"/>
      <c r="AP103" s="581" t="s">
        <v>242</v>
      </c>
      <c r="AQ103" s="104"/>
      <c r="AR103" s="104"/>
    </row>
    <row r="104" spans="1:44" x14ac:dyDescent="0.25">
      <c r="A104" s="105" t="s">
        <v>181</v>
      </c>
      <c r="C104" s="580">
        <f>$C4/2</f>
        <v>20.25</v>
      </c>
      <c r="E104" s="107" t="s">
        <v>453</v>
      </c>
      <c r="F104" s="102">
        <v>65.97</v>
      </c>
      <c r="H104" s="559" t="s">
        <v>453</v>
      </c>
      <c r="I104" s="562">
        <v>102.56</v>
      </c>
      <c r="J104" s="564" t="s">
        <v>454</v>
      </c>
      <c r="AI104" s="770" t="s">
        <v>455</v>
      </c>
      <c r="AJ104" s="104" t="s">
        <v>177</v>
      </c>
      <c r="AO104" s="104"/>
      <c r="AP104" s="770" t="s">
        <v>452</v>
      </c>
      <c r="AQ104" s="104"/>
      <c r="AR104" s="104"/>
    </row>
    <row r="105" spans="1:44" x14ac:dyDescent="0.25">
      <c r="A105" s="105" t="s">
        <v>183</v>
      </c>
      <c r="C105" s="580">
        <f t="shared" ref="C105:C167" si="11">$C5/2</f>
        <v>31.82</v>
      </c>
      <c r="E105" s="107" t="s">
        <v>456</v>
      </c>
      <c r="F105" s="102">
        <v>18.7</v>
      </c>
      <c r="H105" s="559" t="s">
        <v>456</v>
      </c>
      <c r="I105" s="562">
        <f>I106/2</f>
        <v>26.67</v>
      </c>
      <c r="J105" s="563" t="s">
        <v>451</v>
      </c>
      <c r="AI105" s="770" t="s">
        <v>457</v>
      </c>
      <c r="AJ105" s="104" t="s">
        <v>177</v>
      </c>
      <c r="AO105" s="104"/>
      <c r="AP105" s="770" t="s">
        <v>455</v>
      </c>
      <c r="AQ105" s="104"/>
      <c r="AR105" s="104"/>
    </row>
    <row r="106" spans="1:44" x14ac:dyDescent="0.25">
      <c r="A106" s="105" t="s">
        <v>184</v>
      </c>
      <c r="C106" s="580">
        <f t="shared" si="11"/>
        <v>28.92</v>
      </c>
      <c r="E106" s="101" t="s">
        <v>302</v>
      </c>
      <c r="F106" s="102">
        <v>37.4</v>
      </c>
      <c r="H106" s="549" t="s">
        <v>302</v>
      </c>
      <c r="I106" s="562">
        <v>53.34</v>
      </c>
      <c r="J106" s="563" t="s">
        <v>458</v>
      </c>
      <c r="AI106" s="581" t="s">
        <v>243</v>
      </c>
      <c r="AJ106" s="104" t="s">
        <v>243</v>
      </c>
      <c r="AO106" s="104"/>
      <c r="AP106" s="770" t="s">
        <v>457</v>
      </c>
      <c r="AQ106" s="104"/>
      <c r="AR106" s="104"/>
    </row>
    <row r="107" spans="1:44" x14ac:dyDescent="0.25">
      <c r="A107" s="105" t="s">
        <v>185</v>
      </c>
      <c r="C107" s="580">
        <f t="shared" si="11"/>
        <v>23.78</v>
      </c>
      <c r="H107" s="559"/>
      <c r="I107" s="559"/>
      <c r="J107" s="563" t="s">
        <v>459</v>
      </c>
      <c r="AI107" s="581" t="s">
        <v>244</v>
      </c>
      <c r="AJ107" s="104" t="s">
        <v>244</v>
      </c>
      <c r="AO107" s="104"/>
      <c r="AP107" s="581" t="s">
        <v>243</v>
      </c>
      <c r="AQ107" s="104"/>
      <c r="AR107" s="104"/>
    </row>
    <row r="108" spans="1:44" x14ac:dyDescent="0.25">
      <c r="A108" s="105" t="s">
        <v>187</v>
      </c>
      <c r="C108" s="580">
        <f t="shared" si="11"/>
        <v>29.57</v>
      </c>
      <c r="H108" s="561"/>
      <c r="J108" s="563" t="s">
        <v>460</v>
      </c>
      <c r="AI108" s="770" t="s">
        <v>461</v>
      </c>
      <c r="AJ108" s="104" t="s">
        <v>177</v>
      </c>
      <c r="AO108" s="104"/>
      <c r="AP108" s="581" t="s">
        <v>244</v>
      </c>
      <c r="AQ108" s="104"/>
      <c r="AR108" s="104"/>
    </row>
    <row r="109" spans="1:44" x14ac:dyDescent="0.25">
      <c r="A109" s="105" t="s">
        <v>188</v>
      </c>
      <c r="C109" s="580">
        <f t="shared" si="11"/>
        <v>27.32</v>
      </c>
      <c r="J109" s="563" t="s">
        <v>462</v>
      </c>
      <c r="AI109" s="581" t="s">
        <v>245</v>
      </c>
      <c r="AJ109" s="104" t="s">
        <v>245</v>
      </c>
      <c r="AO109" s="104"/>
      <c r="AP109" s="770" t="s">
        <v>461</v>
      </c>
      <c r="AQ109" s="104"/>
      <c r="AR109" s="104"/>
    </row>
    <row r="110" spans="1:44" x14ac:dyDescent="0.25">
      <c r="A110" s="105" t="s">
        <v>190</v>
      </c>
      <c r="C110" s="580">
        <f>$C10/2</f>
        <v>31.5</v>
      </c>
      <c r="J110" s="563" t="s">
        <v>463</v>
      </c>
      <c r="AI110" s="581" t="s">
        <v>246</v>
      </c>
      <c r="AJ110" s="104" t="s">
        <v>464</v>
      </c>
      <c r="AO110" s="104"/>
      <c r="AP110" s="581" t="s">
        <v>245</v>
      </c>
      <c r="AQ110" s="104"/>
      <c r="AR110" s="104"/>
    </row>
    <row r="111" spans="1:44" x14ac:dyDescent="0.25">
      <c r="A111" s="105" t="s">
        <v>191</v>
      </c>
      <c r="C111" s="580">
        <f t="shared" si="11"/>
        <v>44.35</v>
      </c>
      <c r="J111" s="563" t="s">
        <v>465</v>
      </c>
      <c r="AI111" s="770" t="s">
        <v>466</v>
      </c>
      <c r="AJ111" s="104" t="s">
        <v>177</v>
      </c>
      <c r="AO111" s="104"/>
      <c r="AP111" s="581" t="s">
        <v>246</v>
      </c>
      <c r="AQ111" s="104"/>
      <c r="AR111" s="104"/>
    </row>
    <row r="112" spans="1:44" x14ac:dyDescent="0.25">
      <c r="A112" s="105" t="s">
        <v>192</v>
      </c>
      <c r="C112" s="580">
        <f t="shared" si="11"/>
        <v>19.600000000000001</v>
      </c>
      <c r="AI112" s="770" t="s">
        <v>467</v>
      </c>
      <c r="AJ112" s="104" t="s">
        <v>177</v>
      </c>
      <c r="AO112" s="104"/>
      <c r="AP112" s="770" t="s">
        <v>466</v>
      </c>
      <c r="AQ112" s="104"/>
      <c r="AR112" s="104"/>
    </row>
    <row r="113" spans="1:44" x14ac:dyDescent="0.25">
      <c r="A113" s="105" t="s">
        <v>193</v>
      </c>
      <c r="C113" s="580">
        <f t="shared" si="11"/>
        <v>26.67</v>
      </c>
      <c r="AI113" s="581" t="s">
        <v>468</v>
      </c>
      <c r="AJ113" s="105" t="s">
        <v>165</v>
      </c>
      <c r="AO113" s="104"/>
      <c r="AP113" s="770" t="s">
        <v>467</v>
      </c>
      <c r="AQ113" s="104"/>
      <c r="AR113" s="104"/>
    </row>
    <row r="114" spans="1:44" x14ac:dyDescent="0.25">
      <c r="A114" s="105" t="s">
        <v>194</v>
      </c>
      <c r="C114" s="580">
        <f t="shared" si="11"/>
        <v>42.42</v>
      </c>
      <c r="AI114" s="581" t="s">
        <v>247</v>
      </c>
      <c r="AJ114" s="104" t="s">
        <v>247</v>
      </c>
      <c r="AO114" s="104"/>
      <c r="AP114" s="581" t="s">
        <v>468</v>
      </c>
      <c r="AQ114" s="104"/>
      <c r="AR114" s="104"/>
    </row>
    <row r="115" spans="1:44" x14ac:dyDescent="0.25">
      <c r="A115" s="105" t="s">
        <v>195</v>
      </c>
      <c r="C115" s="580">
        <f t="shared" si="11"/>
        <v>20.25</v>
      </c>
      <c r="AI115" s="770" t="s">
        <v>469</v>
      </c>
      <c r="AJ115" s="104" t="s">
        <v>177</v>
      </c>
      <c r="AO115" s="104"/>
      <c r="AP115" s="581" t="s">
        <v>247</v>
      </c>
      <c r="AQ115" s="104"/>
      <c r="AR115" s="104"/>
    </row>
    <row r="116" spans="1:44" x14ac:dyDescent="0.25">
      <c r="A116" s="105" t="s">
        <v>196</v>
      </c>
      <c r="C116" s="580">
        <f t="shared" si="11"/>
        <v>26.03</v>
      </c>
      <c r="AI116" s="770" t="s">
        <v>470</v>
      </c>
      <c r="AJ116" s="104" t="s">
        <v>177</v>
      </c>
      <c r="AO116" s="104"/>
      <c r="AP116" s="770" t="s">
        <v>469</v>
      </c>
      <c r="AQ116" s="104"/>
      <c r="AR116" s="104"/>
    </row>
    <row r="117" spans="1:44" x14ac:dyDescent="0.25">
      <c r="A117" s="105" t="s">
        <v>197</v>
      </c>
      <c r="C117" s="580">
        <f t="shared" si="11"/>
        <v>27.64</v>
      </c>
      <c r="AI117" s="770" t="s">
        <v>471</v>
      </c>
      <c r="AJ117" s="104" t="s">
        <v>177</v>
      </c>
      <c r="AO117" s="104"/>
      <c r="AP117" s="770" t="s">
        <v>470</v>
      </c>
      <c r="AQ117" s="104"/>
      <c r="AR117" s="104"/>
    </row>
    <row r="118" spans="1:44" x14ac:dyDescent="0.25">
      <c r="A118" s="105" t="s">
        <v>198</v>
      </c>
      <c r="C118" s="580">
        <f t="shared" si="11"/>
        <v>27</v>
      </c>
      <c r="AI118" s="581" t="s">
        <v>248</v>
      </c>
      <c r="AJ118" s="104" t="s">
        <v>248</v>
      </c>
      <c r="AO118" s="104"/>
      <c r="AP118" s="770" t="s">
        <v>471</v>
      </c>
      <c r="AQ118" s="104"/>
      <c r="AR118" s="104"/>
    </row>
    <row r="119" spans="1:44" x14ac:dyDescent="0.25">
      <c r="A119" s="105" t="s">
        <v>199</v>
      </c>
      <c r="C119" s="580">
        <f t="shared" si="11"/>
        <v>24.75</v>
      </c>
      <c r="AI119" s="770" t="s">
        <v>472</v>
      </c>
      <c r="AJ119" s="104" t="s">
        <v>177</v>
      </c>
      <c r="AO119" s="104"/>
      <c r="AP119" s="581" t="s">
        <v>248</v>
      </c>
      <c r="AQ119" s="104"/>
      <c r="AR119" s="104"/>
    </row>
    <row r="120" spans="1:44" x14ac:dyDescent="0.25">
      <c r="A120" s="105" t="s">
        <v>200</v>
      </c>
      <c r="C120" s="580">
        <f t="shared" si="11"/>
        <v>41.78</v>
      </c>
      <c r="AI120" s="581" t="s">
        <v>249</v>
      </c>
      <c r="AJ120" s="104" t="s">
        <v>249</v>
      </c>
      <c r="AO120" s="104"/>
      <c r="AP120" s="770" t="s">
        <v>472</v>
      </c>
      <c r="AQ120" s="104"/>
      <c r="AR120" s="104"/>
    </row>
    <row r="121" spans="1:44" x14ac:dyDescent="0.25">
      <c r="A121" s="105" t="s">
        <v>201</v>
      </c>
      <c r="C121" s="580">
        <f t="shared" si="11"/>
        <v>29.57</v>
      </c>
      <c r="AI121" s="581" t="s">
        <v>250</v>
      </c>
      <c r="AJ121" s="104" t="s">
        <v>250</v>
      </c>
      <c r="AO121" s="104"/>
      <c r="AP121" s="581" t="s">
        <v>249</v>
      </c>
      <c r="AQ121" s="104"/>
      <c r="AR121" s="104"/>
    </row>
    <row r="122" spans="1:44" x14ac:dyDescent="0.25">
      <c r="A122" s="105" t="s">
        <v>202</v>
      </c>
      <c r="C122" s="580">
        <f t="shared" si="11"/>
        <v>26.35</v>
      </c>
      <c r="AI122" s="581" t="s">
        <v>251</v>
      </c>
      <c r="AJ122" s="104" t="s">
        <v>251</v>
      </c>
      <c r="AO122" s="104"/>
      <c r="AP122" s="581" t="s">
        <v>250</v>
      </c>
      <c r="AQ122" s="104"/>
      <c r="AR122" s="104"/>
    </row>
    <row r="123" spans="1:44" x14ac:dyDescent="0.25">
      <c r="A123" s="105" t="s">
        <v>203</v>
      </c>
      <c r="C123" s="580">
        <f t="shared" si="11"/>
        <v>23.78</v>
      </c>
      <c r="AI123" s="770" t="s">
        <v>473</v>
      </c>
      <c r="AJ123" s="104" t="s">
        <v>177</v>
      </c>
      <c r="AO123" s="104"/>
      <c r="AP123" s="581" t="s">
        <v>251</v>
      </c>
      <c r="AQ123" s="104"/>
      <c r="AR123" s="104"/>
    </row>
    <row r="124" spans="1:44" x14ac:dyDescent="0.25">
      <c r="A124" s="105" t="s">
        <v>204</v>
      </c>
      <c r="C124" s="580">
        <f t="shared" si="11"/>
        <v>26.67</v>
      </c>
      <c r="AI124" s="581" t="s">
        <v>252</v>
      </c>
      <c r="AJ124" s="104" t="s">
        <v>474</v>
      </c>
      <c r="AO124" s="104"/>
      <c r="AP124" s="770" t="s">
        <v>473</v>
      </c>
      <c r="AQ124" s="104"/>
      <c r="AR124" s="104"/>
    </row>
    <row r="125" spans="1:44" x14ac:dyDescent="0.25">
      <c r="A125" s="105" t="s">
        <v>206</v>
      </c>
      <c r="C125" s="580">
        <f t="shared" si="11"/>
        <v>17.68</v>
      </c>
      <c r="AI125" s="581" t="s">
        <v>253</v>
      </c>
      <c r="AJ125" s="104" t="s">
        <v>475</v>
      </c>
      <c r="AO125" s="104"/>
      <c r="AP125" s="581" t="s">
        <v>252</v>
      </c>
      <c r="AQ125" s="104"/>
      <c r="AR125" s="104"/>
    </row>
    <row r="126" spans="1:44" x14ac:dyDescent="0.25">
      <c r="A126" s="105" t="s">
        <v>207</v>
      </c>
      <c r="C126" s="580">
        <f t="shared" si="11"/>
        <v>34.71</v>
      </c>
      <c r="AI126" s="581" t="s">
        <v>476</v>
      </c>
      <c r="AJ126" s="104" t="s">
        <v>254</v>
      </c>
      <c r="AO126" s="104"/>
      <c r="AP126" s="581" t="s">
        <v>253</v>
      </c>
      <c r="AQ126" s="104"/>
      <c r="AR126" s="104"/>
    </row>
    <row r="127" spans="1:44" x14ac:dyDescent="0.25">
      <c r="A127" s="105" t="s">
        <v>208</v>
      </c>
      <c r="C127" s="580">
        <f t="shared" si="11"/>
        <v>23.12</v>
      </c>
      <c r="AI127" s="770" t="s">
        <v>477</v>
      </c>
      <c r="AJ127" s="104" t="s">
        <v>177</v>
      </c>
      <c r="AO127" s="104"/>
      <c r="AP127" s="581" t="s">
        <v>476</v>
      </c>
      <c r="AQ127" s="104"/>
      <c r="AR127" s="104"/>
    </row>
    <row r="128" spans="1:44" x14ac:dyDescent="0.25">
      <c r="A128" s="105" t="s">
        <v>209</v>
      </c>
      <c r="C128" s="580">
        <f t="shared" si="11"/>
        <v>20.89</v>
      </c>
      <c r="AI128" s="770" t="s">
        <v>255</v>
      </c>
      <c r="AJ128" s="104" t="s">
        <v>177</v>
      </c>
      <c r="AO128" s="104"/>
      <c r="AP128" s="770" t="s">
        <v>477</v>
      </c>
      <c r="AQ128" s="104"/>
      <c r="AR128" s="104"/>
    </row>
    <row r="129" spans="1:44" x14ac:dyDescent="0.25">
      <c r="A129" s="105" t="s">
        <v>210</v>
      </c>
      <c r="C129" s="580">
        <f t="shared" si="11"/>
        <v>23.14</v>
      </c>
      <c r="AI129" s="581" t="s">
        <v>478</v>
      </c>
      <c r="AJ129" s="104" t="s">
        <v>256</v>
      </c>
      <c r="AO129" s="104"/>
      <c r="AP129" s="581" t="s">
        <v>255</v>
      </c>
      <c r="AQ129" s="104"/>
      <c r="AR129" s="104"/>
    </row>
    <row r="130" spans="1:44" x14ac:dyDescent="0.25">
      <c r="A130" s="105" t="s">
        <v>211</v>
      </c>
      <c r="C130" s="580">
        <f t="shared" si="11"/>
        <v>30.21</v>
      </c>
      <c r="AI130" s="581" t="s">
        <v>257</v>
      </c>
      <c r="AJ130" s="104" t="s">
        <v>257</v>
      </c>
      <c r="AO130" s="104"/>
      <c r="AP130" s="581" t="s">
        <v>478</v>
      </c>
      <c r="AQ130" s="104"/>
      <c r="AR130" s="104"/>
    </row>
    <row r="131" spans="1:44" x14ac:dyDescent="0.25">
      <c r="A131" s="105" t="s">
        <v>212</v>
      </c>
      <c r="C131" s="580">
        <f t="shared" si="11"/>
        <v>23.14</v>
      </c>
      <c r="AI131" s="581" t="s">
        <v>258</v>
      </c>
      <c r="AJ131" s="104" t="s">
        <v>258</v>
      </c>
      <c r="AO131" s="104"/>
      <c r="AP131" s="581" t="s">
        <v>257</v>
      </c>
      <c r="AQ131" s="104"/>
      <c r="AR131" s="104"/>
    </row>
    <row r="132" spans="1:44" x14ac:dyDescent="0.25">
      <c r="A132" s="105" t="s">
        <v>213</v>
      </c>
      <c r="C132" s="580">
        <f t="shared" si="11"/>
        <v>37.28</v>
      </c>
      <c r="AI132" s="770" t="s">
        <v>479</v>
      </c>
      <c r="AJ132" s="104" t="s">
        <v>177</v>
      </c>
      <c r="AO132" s="104"/>
      <c r="AP132" s="581" t="s">
        <v>258</v>
      </c>
      <c r="AQ132" s="104"/>
      <c r="AR132" s="104"/>
    </row>
    <row r="133" spans="1:44" x14ac:dyDescent="0.25">
      <c r="A133" s="105" t="s">
        <v>214</v>
      </c>
      <c r="C133" s="580">
        <f t="shared" si="11"/>
        <v>20.25</v>
      </c>
      <c r="AI133" s="770" t="s">
        <v>480</v>
      </c>
      <c r="AJ133" s="104" t="s">
        <v>177</v>
      </c>
      <c r="AO133" s="104"/>
      <c r="AP133" s="770" t="s">
        <v>479</v>
      </c>
      <c r="AQ133" s="104"/>
      <c r="AR133" s="104"/>
    </row>
    <row r="134" spans="1:44" x14ac:dyDescent="0.25">
      <c r="A134" s="105" t="s">
        <v>215</v>
      </c>
      <c r="C134" s="580">
        <f t="shared" si="11"/>
        <v>21.21</v>
      </c>
      <c r="AI134" s="581" t="s">
        <v>259</v>
      </c>
      <c r="AJ134" s="104" t="s">
        <v>259</v>
      </c>
      <c r="AO134" s="104"/>
      <c r="AP134" s="770" t="s">
        <v>480</v>
      </c>
      <c r="AQ134" s="104"/>
      <c r="AR134" s="104"/>
    </row>
    <row r="135" spans="1:44" x14ac:dyDescent="0.25">
      <c r="A135" s="105" t="s">
        <v>216</v>
      </c>
      <c r="C135" s="580">
        <f t="shared" si="11"/>
        <v>35.03</v>
      </c>
      <c r="AI135" s="770" t="s">
        <v>481</v>
      </c>
      <c r="AJ135" s="104" t="s">
        <v>177</v>
      </c>
      <c r="AO135" s="104"/>
      <c r="AP135" s="581" t="s">
        <v>259</v>
      </c>
      <c r="AQ135" s="104"/>
      <c r="AR135" s="104"/>
    </row>
    <row r="136" spans="1:44" x14ac:dyDescent="0.25">
      <c r="A136" s="105" t="s">
        <v>217</v>
      </c>
      <c r="C136" s="580">
        <f t="shared" si="11"/>
        <v>35.03</v>
      </c>
      <c r="AI136" s="581" t="s">
        <v>260</v>
      </c>
      <c r="AJ136" s="104" t="s">
        <v>482</v>
      </c>
      <c r="AO136" s="104"/>
      <c r="AP136" s="770" t="s">
        <v>481</v>
      </c>
      <c r="AQ136" s="104"/>
      <c r="AR136" s="104"/>
    </row>
    <row r="137" spans="1:44" x14ac:dyDescent="0.25">
      <c r="A137" s="106" t="s">
        <v>368</v>
      </c>
      <c r="C137" s="580">
        <f t="shared" si="11"/>
        <v>28.28</v>
      </c>
      <c r="AI137" s="581" t="s">
        <v>483</v>
      </c>
      <c r="AJ137" s="105" t="s">
        <v>278</v>
      </c>
      <c r="AO137" s="104"/>
      <c r="AP137" s="581" t="s">
        <v>260</v>
      </c>
      <c r="AQ137" s="104"/>
      <c r="AR137" s="104"/>
    </row>
    <row r="138" spans="1:44" x14ac:dyDescent="0.25">
      <c r="A138" s="106" t="s">
        <v>370</v>
      </c>
      <c r="C138" s="580">
        <f t="shared" si="11"/>
        <v>19.93</v>
      </c>
      <c r="AI138" s="581" t="s">
        <v>261</v>
      </c>
      <c r="AJ138" s="104" t="s">
        <v>484</v>
      </c>
      <c r="AO138" s="104"/>
      <c r="AP138" s="488" t="s">
        <v>556</v>
      </c>
      <c r="AQ138" s="104"/>
      <c r="AR138" s="104"/>
    </row>
    <row r="139" spans="1:44" x14ac:dyDescent="0.25">
      <c r="A139" s="105" t="s">
        <v>220</v>
      </c>
      <c r="C139" s="580">
        <f t="shared" si="11"/>
        <v>20.89</v>
      </c>
      <c r="AI139" s="770" t="s">
        <v>177</v>
      </c>
      <c r="AJ139" s="104" t="s">
        <v>177</v>
      </c>
      <c r="AO139" s="104"/>
      <c r="AP139" s="581" t="s">
        <v>261</v>
      </c>
      <c r="AQ139" s="104"/>
      <c r="AR139" s="104"/>
    </row>
    <row r="140" spans="1:44" x14ac:dyDescent="0.25">
      <c r="A140" s="105" t="s">
        <v>221</v>
      </c>
      <c r="C140" s="580">
        <f t="shared" si="11"/>
        <v>22.82</v>
      </c>
      <c r="AI140" s="770" t="s">
        <v>485</v>
      </c>
      <c r="AJ140" s="104" t="s">
        <v>262</v>
      </c>
      <c r="AO140" s="104"/>
      <c r="AP140" s="770" t="s">
        <v>485</v>
      </c>
      <c r="AQ140" s="104"/>
      <c r="AR140" s="104"/>
    </row>
    <row r="141" spans="1:44" x14ac:dyDescent="0.25">
      <c r="A141" s="105" t="s">
        <v>222</v>
      </c>
      <c r="C141" s="580">
        <f t="shared" si="11"/>
        <v>27</v>
      </c>
      <c r="AI141" s="581" t="s">
        <v>262</v>
      </c>
      <c r="AJ141" s="104" t="s">
        <v>263</v>
      </c>
      <c r="AO141" s="104"/>
      <c r="AP141" s="581" t="s">
        <v>262</v>
      </c>
      <c r="AQ141" s="104"/>
      <c r="AR141" s="104"/>
    </row>
    <row r="142" spans="1:44" x14ac:dyDescent="0.25">
      <c r="A142" s="105" t="s">
        <v>223</v>
      </c>
      <c r="C142" s="580">
        <f t="shared" si="11"/>
        <v>20.25</v>
      </c>
      <c r="AI142" s="581" t="s">
        <v>263</v>
      </c>
      <c r="AJ142" s="104" t="s">
        <v>177</v>
      </c>
      <c r="AO142" s="104"/>
      <c r="AP142" s="581" t="s">
        <v>263</v>
      </c>
      <c r="AQ142" s="104"/>
      <c r="AR142" s="104"/>
    </row>
    <row r="143" spans="1:44" x14ac:dyDescent="0.25">
      <c r="A143" s="105" t="s">
        <v>224</v>
      </c>
      <c r="C143" s="580">
        <f t="shared" si="11"/>
        <v>22.5</v>
      </c>
      <c r="AI143" s="770" t="s">
        <v>486</v>
      </c>
      <c r="AJ143" s="104" t="s">
        <v>264</v>
      </c>
      <c r="AO143" s="104"/>
      <c r="AP143" s="770" t="s">
        <v>486</v>
      </c>
      <c r="AQ143" s="104"/>
      <c r="AR143" s="104"/>
    </row>
    <row r="144" spans="1:44" x14ac:dyDescent="0.25">
      <c r="A144" s="105" t="s">
        <v>225</v>
      </c>
      <c r="C144" s="580">
        <f t="shared" si="11"/>
        <v>27.64</v>
      </c>
      <c r="AI144" s="581" t="s">
        <v>264</v>
      </c>
      <c r="AJ144" s="105" t="s">
        <v>165</v>
      </c>
      <c r="AO144" s="104"/>
      <c r="AP144" s="581" t="s">
        <v>264</v>
      </c>
      <c r="AQ144" s="104"/>
      <c r="AR144" s="104"/>
    </row>
    <row r="145" spans="1:44" x14ac:dyDescent="0.25">
      <c r="A145" s="105" t="s">
        <v>226</v>
      </c>
      <c r="C145" s="580">
        <f t="shared" si="11"/>
        <v>24.75</v>
      </c>
      <c r="AI145" s="581" t="s">
        <v>487</v>
      </c>
      <c r="AJ145" s="104" t="s">
        <v>177</v>
      </c>
      <c r="AO145" s="104"/>
      <c r="AP145" s="581" t="s">
        <v>487</v>
      </c>
      <c r="AQ145" s="104"/>
      <c r="AR145" s="104"/>
    </row>
    <row r="146" spans="1:44" x14ac:dyDescent="0.25">
      <c r="A146" s="105" t="s">
        <v>227</v>
      </c>
      <c r="C146" s="580">
        <f t="shared" si="11"/>
        <v>20.57</v>
      </c>
      <c r="AI146" s="770" t="s">
        <v>488</v>
      </c>
      <c r="AJ146" s="104" t="s">
        <v>265</v>
      </c>
      <c r="AO146" s="104"/>
      <c r="AP146" s="770" t="s">
        <v>488</v>
      </c>
      <c r="AQ146" s="104"/>
      <c r="AR146" s="104"/>
    </row>
    <row r="147" spans="1:44" x14ac:dyDescent="0.25">
      <c r="A147" s="105" t="s">
        <v>228</v>
      </c>
      <c r="C147" s="580">
        <f t="shared" si="11"/>
        <v>22.82</v>
      </c>
      <c r="AI147" s="581" t="s">
        <v>265</v>
      </c>
      <c r="AJ147" s="104" t="s">
        <v>266</v>
      </c>
      <c r="AO147" s="104"/>
      <c r="AP147" s="581" t="s">
        <v>265</v>
      </c>
      <c r="AQ147" s="104"/>
      <c r="AR147" s="104"/>
    </row>
    <row r="148" spans="1:44" x14ac:dyDescent="0.25">
      <c r="A148" s="105" t="s">
        <v>229</v>
      </c>
      <c r="C148" s="580">
        <f t="shared" si="11"/>
        <v>20.89</v>
      </c>
      <c r="AI148" s="581" t="s">
        <v>266</v>
      </c>
      <c r="AJ148" s="104" t="s">
        <v>177</v>
      </c>
      <c r="AO148" s="104"/>
      <c r="AP148" s="581" t="s">
        <v>266</v>
      </c>
      <c r="AQ148" s="104"/>
      <c r="AR148" s="104"/>
    </row>
    <row r="149" spans="1:44" x14ac:dyDescent="0.25">
      <c r="A149" s="104" t="s">
        <v>230</v>
      </c>
      <c r="C149" s="580">
        <f t="shared" si="11"/>
        <v>23.78</v>
      </c>
      <c r="AI149" s="770" t="s">
        <v>489</v>
      </c>
      <c r="AJ149" s="104" t="s">
        <v>177</v>
      </c>
      <c r="AO149" s="104"/>
      <c r="AP149" s="770" t="s">
        <v>489</v>
      </c>
      <c r="AQ149" s="104"/>
      <c r="AR149" s="104"/>
    </row>
    <row r="150" spans="1:44" x14ac:dyDescent="0.25">
      <c r="A150" s="105" t="s">
        <v>231</v>
      </c>
      <c r="C150" s="580">
        <f t="shared" si="11"/>
        <v>25.71</v>
      </c>
      <c r="AI150" s="770" t="s">
        <v>490</v>
      </c>
      <c r="AJ150" s="104" t="s">
        <v>177</v>
      </c>
      <c r="AO150" s="104"/>
      <c r="AP150" s="770" t="s">
        <v>490</v>
      </c>
      <c r="AQ150" s="104"/>
      <c r="AR150" s="104"/>
    </row>
    <row r="151" spans="1:44" x14ac:dyDescent="0.25">
      <c r="A151" s="105" t="s">
        <v>232</v>
      </c>
      <c r="C151" s="580">
        <f t="shared" si="11"/>
        <v>30.21</v>
      </c>
      <c r="AI151" s="770" t="s">
        <v>491</v>
      </c>
      <c r="AJ151" s="104" t="s">
        <v>492</v>
      </c>
      <c r="AO151" s="104"/>
      <c r="AP151" s="770" t="s">
        <v>491</v>
      </c>
      <c r="AQ151" s="104"/>
      <c r="AR151" s="104"/>
    </row>
    <row r="152" spans="1:44" x14ac:dyDescent="0.25">
      <c r="A152" s="105" t="s">
        <v>233</v>
      </c>
      <c r="C152" s="580">
        <f t="shared" si="11"/>
        <v>33.75</v>
      </c>
      <c r="AI152" s="581" t="s">
        <v>267</v>
      </c>
      <c r="AJ152" s="104" t="s">
        <v>177</v>
      </c>
      <c r="AO152" s="104"/>
      <c r="AP152" s="581" t="s">
        <v>267</v>
      </c>
      <c r="AQ152" s="104"/>
      <c r="AR152" s="104"/>
    </row>
    <row r="153" spans="1:44" x14ac:dyDescent="0.25">
      <c r="A153" s="105" t="s">
        <v>234</v>
      </c>
      <c r="C153" s="580">
        <f t="shared" si="11"/>
        <v>24.75</v>
      </c>
      <c r="AI153" s="770" t="s">
        <v>493</v>
      </c>
      <c r="AJ153" s="104" t="s">
        <v>177</v>
      </c>
      <c r="AO153" s="104"/>
      <c r="AP153" s="770" t="s">
        <v>493</v>
      </c>
      <c r="AQ153" s="104"/>
      <c r="AR153" s="104"/>
    </row>
    <row r="154" spans="1:44" x14ac:dyDescent="0.25">
      <c r="A154" s="105" t="s">
        <v>235</v>
      </c>
      <c r="C154" s="580">
        <f t="shared" si="11"/>
        <v>51.74</v>
      </c>
      <c r="AI154" s="770" t="s">
        <v>494</v>
      </c>
      <c r="AJ154" s="104" t="s">
        <v>268</v>
      </c>
      <c r="AO154" s="104"/>
      <c r="AP154" s="770" t="s">
        <v>494</v>
      </c>
      <c r="AQ154" s="104"/>
      <c r="AR154" s="104"/>
    </row>
    <row r="155" spans="1:44" x14ac:dyDescent="0.25">
      <c r="A155" s="105" t="s">
        <v>236</v>
      </c>
      <c r="C155" s="580">
        <f t="shared" si="11"/>
        <v>22.82</v>
      </c>
      <c r="AI155" s="581" t="s">
        <v>268</v>
      </c>
      <c r="AJ155" s="104" t="s">
        <v>269</v>
      </c>
      <c r="AO155" s="104"/>
      <c r="AP155" s="581" t="s">
        <v>268</v>
      </c>
      <c r="AQ155" s="104"/>
      <c r="AR155" s="104"/>
    </row>
    <row r="156" spans="1:44" x14ac:dyDescent="0.25">
      <c r="A156" s="105" t="s">
        <v>237</v>
      </c>
      <c r="C156" s="580">
        <f t="shared" si="11"/>
        <v>21.21</v>
      </c>
      <c r="AI156" s="581" t="s">
        <v>269</v>
      </c>
      <c r="AJ156" s="104" t="s">
        <v>177</v>
      </c>
      <c r="AO156" s="104"/>
      <c r="AP156" s="581" t="s">
        <v>269</v>
      </c>
      <c r="AQ156" s="104"/>
      <c r="AR156" s="104"/>
    </row>
    <row r="157" spans="1:44" x14ac:dyDescent="0.25">
      <c r="A157" s="105" t="s">
        <v>238</v>
      </c>
      <c r="C157" s="580">
        <f t="shared" si="11"/>
        <v>23.78</v>
      </c>
      <c r="AI157" s="770" t="s">
        <v>495</v>
      </c>
      <c r="AJ157" s="104" t="s">
        <v>270</v>
      </c>
      <c r="AO157" s="104"/>
      <c r="AP157" s="770" t="s">
        <v>495</v>
      </c>
      <c r="AQ157" s="104"/>
      <c r="AR157" s="104"/>
    </row>
    <row r="158" spans="1:44" x14ac:dyDescent="0.25">
      <c r="A158" s="105" t="s">
        <v>239</v>
      </c>
      <c r="C158" s="580">
        <f t="shared" si="11"/>
        <v>18.64</v>
      </c>
      <c r="AI158" s="581" t="s">
        <v>270</v>
      </c>
      <c r="AJ158" s="104" t="s">
        <v>271</v>
      </c>
      <c r="AO158" s="104"/>
      <c r="AP158" s="581" t="s">
        <v>270</v>
      </c>
      <c r="AQ158" s="104"/>
      <c r="AR158" s="104"/>
    </row>
    <row r="159" spans="1:44" x14ac:dyDescent="0.25">
      <c r="A159" s="105" t="s">
        <v>240</v>
      </c>
      <c r="C159" s="580">
        <f t="shared" si="11"/>
        <v>29.25</v>
      </c>
      <c r="AI159" s="581" t="s">
        <v>271</v>
      </c>
      <c r="AJ159" s="104" t="s">
        <v>177</v>
      </c>
      <c r="AO159" s="104"/>
      <c r="AP159" s="581" t="s">
        <v>271</v>
      </c>
      <c r="AQ159" s="104"/>
      <c r="AR159" s="104"/>
    </row>
    <row r="160" spans="1:44" x14ac:dyDescent="0.25">
      <c r="A160" s="105" t="s">
        <v>241</v>
      </c>
      <c r="C160" s="580">
        <f t="shared" si="11"/>
        <v>29.89</v>
      </c>
      <c r="AI160" s="770" t="s">
        <v>496</v>
      </c>
      <c r="AJ160" s="104" t="s">
        <v>272</v>
      </c>
      <c r="AO160" s="104"/>
      <c r="AP160" s="770" t="s">
        <v>496</v>
      </c>
      <c r="AQ160" s="104"/>
      <c r="AR160" s="104"/>
    </row>
    <row r="161" spans="1:44" x14ac:dyDescent="0.25">
      <c r="A161" s="105" t="s">
        <v>242</v>
      </c>
      <c r="C161" s="580">
        <f t="shared" si="11"/>
        <v>18.32</v>
      </c>
      <c r="AI161" s="581" t="s">
        <v>272</v>
      </c>
      <c r="AJ161" s="104" t="s">
        <v>177</v>
      </c>
      <c r="AO161" s="104"/>
      <c r="AP161" s="581" t="s">
        <v>272</v>
      </c>
      <c r="AQ161" s="104"/>
      <c r="AR161" s="104"/>
    </row>
    <row r="162" spans="1:44" x14ac:dyDescent="0.25">
      <c r="A162" s="105" t="s">
        <v>243</v>
      </c>
      <c r="C162" s="580">
        <f t="shared" si="11"/>
        <v>17.03</v>
      </c>
      <c r="AI162" s="770" t="s">
        <v>497</v>
      </c>
      <c r="AJ162" s="104" t="s">
        <v>177</v>
      </c>
      <c r="AO162" s="104"/>
      <c r="AP162" s="770" t="s">
        <v>497</v>
      </c>
      <c r="AQ162" s="104"/>
      <c r="AR162" s="104"/>
    </row>
    <row r="163" spans="1:44" x14ac:dyDescent="0.25">
      <c r="A163" s="105" t="s">
        <v>244</v>
      </c>
      <c r="C163" s="580">
        <f t="shared" si="11"/>
        <v>21.21</v>
      </c>
      <c r="AI163" s="770" t="s">
        <v>498</v>
      </c>
      <c r="AJ163" s="104" t="s">
        <v>177</v>
      </c>
      <c r="AO163" s="104"/>
      <c r="AP163" s="770" t="s">
        <v>498</v>
      </c>
      <c r="AQ163" s="104"/>
      <c r="AR163" s="104"/>
    </row>
    <row r="164" spans="1:44" x14ac:dyDescent="0.25">
      <c r="A164" s="105" t="s">
        <v>245</v>
      </c>
      <c r="C164" s="580">
        <f t="shared" si="11"/>
        <v>20.89</v>
      </c>
      <c r="AI164" s="770" t="s">
        <v>499</v>
      </c>
      <c r="AJ164" s="104" t="s">
        <v>177</v>
      </c>
      <c r="AO164" s="104"/>
      <c r="AP164" s="770" t="s">
        <v>499</v>
      </c>
      <c r="AQ164" s="104"/>
      <c r="AR164" s="104"/>
    </row>
    <row r="165" spans="1:44" x14ac:dyDescent="0.25">
      <c r="A165" s="105" t="s">
        <v>246</v>
      </c>
      <c r="C165" s="580">
        <f t="shared" si="11"/>
        <v>23.14</v>
      </c>
      <c r="AI165" s="770" t="s">
        <v>500</v>
      </c>
      <c r="AJ165" s="104" t="s">
        <v>501</v>
      </c>
      <c r="AO165" s="104"/>
      <c r="AP165" s="770" t="s">
        <v>500</v>
      </c>
      <c r="AQ165" s="104"/>
      <c r="AR165" s="104"/>
    </row>
    <row r="166" spans="1:44" x14ac:dyDescent="0.25">
      <c r="A166" s="105" t="s">
        <v>247</v>
      </c>
      <c r="C166" s="580">
        <f t="shared" si="11"/>
        <v>22.82</v>
      </c>
      <c r="AI166" s="581" t="s">
        <v>273</v>
      </c>
      <c r="AJ166" s="104" t="s">
        <v>177</v>
      </c>
      <c r="AO166" s="104"/>
      <c r="AP166" s="581" t="s">
        <v>273</v>
      </c>
      <c r="AQ166" s="104"/>
      <c r="AR166" s="104"/>
    </row>
    <row r="167" spans="1:44" x14ac:dyDescent="0.25">
      <c r="A167" s="105" t="s">
        <v>248</v>
      </c>
      <c r="C167" s="580">
        <f t="shared" si="11"/>
        <v>28.28</v>
      </c>
      <c r="AI167" s="770" t="s">
        <v>502</v>
      </c>
      <c r="AJ167" s="104" t="s">
        <v>274</v>
      </c>
      <c r="AO167" s="104"/>
      <c r="AP167" s="770" t="s">
        <v>502</v>
      </c>
      <c r="AQ167" s="104"/>
      <c r="AR167" s="104"/>
    </row>
    <row r="168" spans="1:44" x14ac:dyDescent="0.25">
      <c r="A168" s="105" t="s">
        <v>249</v>
      </c>
      <c r="C168" s="580">
        <f t="shared" ref="C168:C200" si="12">$C68/2</f>
        <v>25.07</v>
      </c>
      <c r="AI168" s="581" t="s">
        <v>503</v>
      </c>
      <c r="AJ168" s="104" t="s">
        <v>177</v>
      </c>
      <c r="AO168" s="104"/>
      <c r="AP168" s="581" t="s">
        <v>503</v>
      </c>
      <c r="AQ168" s="104"/>
      <c r="AR168" s="104"/>
    </row>
    <row r="169" spans="1:44" x14ac:dyDescent="0.25">
      <c r="A169" s="105" t="s">
        <v>250</v>
      </c>
      <c r="C169" s="580">
        <f t="shared" si="12"/>
        <v>43.07</v>
      </c>
      <c r="AI169" s="770" t="s">
        <v>504</v>
      </c>
      <c r="AJ169" s="104" t="s">
        <v>177</v>
      </c>
      <c r="AO169" s="104"/>
      <c r="AP169" s="770" t="s">
        <v>504</v>
      </c>
      <c r="AQ169" s="104"/>
      <c r="AR169" s="104"/>
    </row>
    <row r="170" spans="1:44" x14ac:dyDescent="0.25">
      <c r="A170" s="105" t="s">
        <v>251</v>
      </c>
      <c r="C170" s="580">
        <f t="shared" si="12"/>
        <v>21.53</v>
      </c>
      <c r="AI170" s="770" t="s">
        <v>505</v>
      </c>
      <c r="AJ170" s="104" t="s">
        <v>275</v>
      </c>
      <c r="AO170" s="104"/>
      <c r="AP170" s="770" t="s">
        <v>505</v>
      </c>
      <c r="AQ170" s="104"/>
      <c r="AR170" s="104"/>
    </row>
    <row r="171" spans="1:44" x14ac:dyDescent="0.25">
      <c r="A171" s="105" t="s">
        <v>252</v>
      </c>
      <c r="C171" s="580">
        <f t="shared" si="12"/>
        <v>34.39</v>
      </c>
      <c r="AI171" s="581" t="s">
        <v>275</v>
      </c>
      <c r="AJ171" s="104" t="s">
        <v>177</v>
      </c>
      <c r="AO171" s="104"/>
      <c r="AP171" s="581" t="s">
        <v>275</v>
      </c>
      <c r="AQ171" s="104"/>
      <c r="AR171" s="104"/>
    </row>
    <row r="172" spans="1:44" x14ac:dyDescent="0.25">
      <c r="A172" s="105" t="s">
        <v>253</v>
      </c>
      <c r="C172" s="580">
        <f t="shared" si="12"/>
        <v>19.93</v>
      </c>
      <c r="AI172" s="770" t="s">
        <v>506</v>
      </c>
      <c r="AJ172" s="104" t="s">
        <v>276</v>
      </c>
      <c r="AO172" s="104"/>
      <c r="AP172" s="770" t="s">
        <v>506</v>
      </c>
      <c r="AQ172" s="104"/>
      <c r="AR172" s="104"/>
    </row>
    <row r="173" spans="1:44" x14ac:dyDescent="0.25">
      <c r="A173" s="105" t="s">
        <v>254</v>
      </c>
      <c r="C173" s="580">
        <f t="shared" si="12"/>
        <v>19.600000000000001</v>
      </c>
      <c r="AI173" s="581" t="s">
        <v>276</v>
      </c>
      <c r="AJ173" s="104" t="s">
        <v>177</v>
      </c>
      <c r="AO173" s="104"/>
      <c r="AP173" s="581" t="s">
        <v>276</v>
      </c>
      <c r="AQ173" s="104"/>
      <c r="AR173" s="104"/>
    </row>
    <row r="174" spans="1:44" x14ac:dyDescent="0.25">
      <c r="A174" s="105" t="s">
        <v>255</v>
      </c>
      <c r="C174" s="580">
        <f t="shared" si="12"/>
        <v>17.68</v>
      </c>
      <c r="AI174" s="770" t="s">
        <v>507</v>
      </c>
      <c r="AJ174" s="104" t="s">
        <v>277</v>
      </c>
      <c r="AO174" s="104"/>
      <c r="AP174" s="770" t="s">
        <v>507</v>
      </c>
      <c r="AQ174" s="104"/>
      <c r="AR174" s="104"/>
    </row>
    <row r="175" spans="1:44" x14ac:dyDescent="0.25">
      <c r="A175" s="105" t="s">
        <v>478</v>
      </c>
      <c r="C175" s="580">
        <f t="shared" si="12"/>
        <v>23.14</v>
      </c>
      <c r="AI175" s="581" t="s">
        <v>277</v>
      </c>
      <c r="AJ175" s="104" t="s">
        <v>177</v>
      </c>
      <c r="AO175" s="104"/>
      <c r="AP175" s="581" t="s">
        <v>277</v>
      </c>
      <c r="AQ175" s="104"/>
      <c r="AR175" s="104"/>
    </row>
    <row r="176" spans="1:44" x14ac:dyDescent="0.25">
      <c r="A176" s="105" t="s">
        <v>257</v>
      </c>
      <c r="C176" s="580">
        <f t="shared" si="12"/>
        <v>22.82</v>
      </c>
      <c r="AI176" s="770" t="s">
        <v>508</v>
      </c>
      <c r="AJ176" s="104" t="s">
        <v>177</v>
      </c>
      <c r="AO176" s="104"/>
      <c r="AP176" s="770" t="s">
        <v>508</v>
      </c>
      <c r="AQ176" s="104"/>
      <c r="AR176" s="104"/>
    </row>
    <row r="177" spans="1:44" ht="14.4" x14ac:dyDescent="0.3">
      <c r="A177" s="105" t="s">
        <v>258</v>
      </c>
      <c r="C177" s="580">
        <f t="shared" si="12"/>
        <v>23.46</v>
      </c>
      <c r="AI177" s="771" t="s">
        <v>509</v>
      </c>
      <c r="AJ177" s="104" t="s">
        <v>176</v>
      </c>
      <c r="AO177" s="104"/>
      <c r="AP177" s="770" t="s">
        <v>510</v>
      </c>
      <c r="AQ177" s="104"/>
      <c r="AR177" s="104"/>
    </row>
    <row r="178" spans="1:44" x14ac:dyDescent="0.25">
      <c r="A178" s="105" t="s">
        <v>259</v>
      </c>
      <c r="C178" s="580">
        <f t="shared" si="12"/>
        <v>44.35</v>
      </c>
      <c r="AI178" s="770" t="s">
        <v>510</v>
      </c>
      <c r="AJ178" s="104" t="s">
        <v>177</v>
      </c>
      <c r="AO178" s="104"/>
      <c r="AP178" s="581" t="s">
        <v>176</v>
      </c>
      <c r="AQ178" s="104"/>
      <c r="AR178" s="104"/>
    </row>
    <row r="179" spans="1:44" x14ac:dyDescent="0.25">
      <c r="A179" s="105" t="s">
        <v>260</v>
      </c>
      <c r="C179" s="580">
        <f t="shared" si="12"/>
        <v>23.14</v>
      </c>
      <c r="AI179" s="581" t="s">
        <v>176</v>
      </c>
      <c r="AJ179" s="105" t="s">
        <v>278</v>
      </c>
      <c r="AO179" s="104"/>
      <c r="AP179" s="770" t="s">
        <v>177</v>
      </c>
      <c r="AQ179" s="104"/>
      <c r="AR179" s="104"/>
    </row>
    <row r="180" spans="1:44" ht="14.4" x14ac:dyDescent="0.3">
      <c r="A180" s="105" t="s">
        <v>261</v>
      </c>
      <c r="C180" s="580">
        <f t="shared" si="12"/>
        <v>19.600000000000001</v>
      </c>
      <c r="AO180" s="104"/>
      <c r="AP180" s="784" t="s">
        <v>509</v>
      </c>
      <c r="AQ180" s="104"/>
      <c r="AR180" s="104"/>
    </row>
    <row r="181" spans="1:44" x14ac:dyDescent="0.25">
      <c r="A181" s="105" t="s">
        <v>262</v>
      </c>
      <c r="C181" s="580">
        <f t="shared" si="12"/>
        <v>20.57</v>
      </c>
    </row>
    <row r="182" spans="1:44" x14ac:dyDescent="0.25">
      <c r="A182" s="105" t="s">
        <v>263</v>
      </c>
      <c r="C182" s="580">
        <f t="shared" si="12"/>
        <v>39.21</v>
      </c>
    </row>
    <row r="183" spans="1:44" x14ac:dyDescent="0.25">
      <c r="A183" s="105" t="s">
        <v>264</v>
      </c>
      <c r="C183" s="580">
        <f t="shared" si="12"/>
        <v>24.11</v>
      </c>
    </row>
    <row r="184" spans="1:44" x14ac:dyDescent="0.25">
      <c r="A184" s="105" t="s">
        <v>165</v>
      </c>
      <c r="C184" s="580">
        <f t="shared" si="12"/>
        <v>21.86</v>
      </c>
    </row>
    <row r="185" spans="1:44" x14ac:dyDescent="0.25">
      <c r="A185" s="105" t="s">
        <v>265</v>
      </c>
      <c r="C185" s="580">
        <f t="shared" si="12"/>
        <v>25.71</v>
      </c>
    </row>
    <row r="186" spans="1:44" x14ac:dyDescent="0.25">
      <c r="A186" s="105" t="s">
        <v>266</v>
      </c>
      <c r="C186" s="580">
        <f t="shared" si="12"/>
        <v>24.75</v>
      </c>
    </row>
    <row r="187" spans="1:44" x14ac:dyDescent="0.25">
      <c r="A187" s="105" t="s">
        <v>267</v>
      </c>
      <c r="C187" s="580">
        <f t="shared" si="12"/>
        <v>25.71</v>
      </c>
    </row>
    <row r="188" spans="1:44" x14ac:dyDescent="0.25">
      <c r="A188" s="105" t="s">
        <v>268</v>
      </c>
      <c r="C188" s="580">
        <f t="shared" si="12"/>
        <v>40.17</v>
      </c>
    </row>
    <row r="189" spans="1:44" x14ac:dyDescent="0.25">
      <c r="A189" s="105" t="s">
        <v>269</v>
      </c>
      <c r="C189" s="580">
        <f t="shared" si="12"/>
        <v>32.78</v>
      </c>
    </row>
    <row r="190" spans="1:44" x14ac:dyDescent="0.25">
      <c r="A190" s="105" t="s">
        <v>270</v>
      </c>
      <c r="C190" s="580">
        <f t="shared" si="12"/>
        <v>20.89</v>
      </c>
    </row>
    <row r="191" spans="1:44" x14ac:dyDescent="0.25">
      <c r="A191" s="105" t="s">
        <v>271</v>
      </c>
      <c r="C191" s="580">
        <f t="shared" si="12"/>
        <v>26.03</v>
      </c>
    </row>
    <row r="192" spans="1:44" x14ac:dyDescent="0.25">
      <c r="A192" s="105" t="s">
        <v>272</v>
      </c>
      <c r="C192" s="580">
        <f t="shared" si="12"/>
        <v>16.07</v>
      </c>
    </row>
    <row r="193" spans="1:11" x14ac:dyDescent="0.25">
      <c r="A193" s="105" t="s">
        <v>273</v>
      </c>
      <c r="C193" s="580">
        <f t="shared" si="12"/>
        <v>24.75</v>
      </c>
    </row>
    <row r="194" spans="1:11" x14ac:dyDescent="0.25">
      <c r="A194" s="105" t="s">
        <v>503</v>
      </c>
      <c r="C194" s="580">
        <f t="shared" si="12"/>
        <v>20.89</v>
      </c>
    </row>
    <row r="195" spans="1:11" x14ac:dyDescent="0.25">
      <c r="A195" s="105" t="s">
        <v>275</v>
      </c>
      <c r="C195" s="580">
        <f t="shared" si="12"/>
        <v>22.18</v>
      </c>
    </row>
    <row r="196" spans="1:11" x14ac:dyDescent="0.25">
      <c r="A196" s="105" t="s">
        <v>276</v>
      </c>
      <c r="C196" s="580">
        <f t="shared" si="12"/>
        <v>19.28</v>
      </c>
    </row>
    <row r="197" spans="1:11" x14ac:dyDescent="0.25">
      <c r="A197" s="105" t="s">
        <v>277</v>
      </c>
      <c r="C197" s="580">
        <f t="shared" si="12"/>
        <v>23.14</v>
      </c>
    </row>
    <row r="198" spans="1:11" x14ac:dyDescent="0.25">
      <c r="A198" s="105" t="s">
        <v>278</v>
      </c>
      <c r="C198" s="580">
        <f t="shared" si="12"/>
        <v>28.92</v>
      </c>
    </row>
    <row r="199" spans="1:11" x14ac:dyDescent="0.25">
      <c r="A199" s="105" t="s">
        <v>176</v>
      </c>
      <c r="C199" s="580">
        <f t="shared" si="12"/>
        <v>20.89</v>
      </c>
    </row>
    <row r="200" spans="1:11" x14ac:dyDescent="0.25">
      <c r="A200" s="105" t="s">
        <v>177</v>
      </c>
      <c r="C200" s="580">
        <f t="shared" si="12"/>
        <v>21.86</v>
      </c>
    </row>
    <row r="202" spans="1:11" ht="26.4" x14ac:dyDescent="0.25">
      <c r="A202" s="624" t="s">
        <v>511</v>
      </c>
      <c r="B202" s="625" t="s">
        <v>512</v>
      </c>
      <c r="C202" s="626" t="s">
        <v>513</v>
      </c>
    </row>
    <row r="203" spans="1:11" x14ac:dyDescent="0.25">
      <c r="A203" s="627" t="s">
        <v>514</v>
      </c>
      <c r="B203" s="628">
        <v>150</v>
      </c>
      <c r="C203" s="628">
        <v>130</v>
      </c>
    </row>
    <row r="204" spans="1:11" x14ac:dyDescent="0.25">
      <c r="A204" s="627" t="s">
        <v>515</v>
      </c>
      <c r="B204" s="628">
        <v>53.34</v>
      </c>
      <c r="C204" s="628">
        <v>53.34</v>
      </c>
    </row>
    <row r="205" spans="1:11" x14ac:dyDescent="0.25">
      <c r="A205" s="627" t="s">
        <v>516</v>
      </c>
      <c r="B205" s="628">
        <v>26.37</v>
      </c>
      <c r="C205" s="628">
        <v>26.67</v>
      </c>
    </row>
    <row r="206" spans="1:11" x14ac:dyDescent="0.25">
      <c r="A206" s="627" t="s">
        <v>517</v>
      </c>
      <c r="B206" s="628">
        <v>23.67</v>
      </c>
      <c r="C206" s="628">
        <v>23.67</v>
      </c>
      <c r="F206" s="827">
        <f>IF(OR($B$207=$AF$2,$B$207=$AF$3),20.89,IF($B$207=$AF$1,23.67,IF($B$207=$AF$4,20.44,IF($B$207=$AF$5,24.02,""))))</f>
        <v>24.02</v>
      </c>
    </row>
    <row r="207" spans="1:11" x14ac:dyDescent="0.25">
      <c r="A207" s="634">
        <v>48213</v>
      </c>
      <c r="B207" s="1428" t="str">
        <f>IF('LIQUIDACIÓN-GASTOS'!AF2=AF4,'LIQUIDACIÓN-GASTOS'!AF2,IF(AG2&gt;AG5,AF5,'LIQUIDACIÓN-GASTOS'!AF2))</f>
        <v>BORRADOR</v>
      </c>
      <c r="C207" s="1429"/>
      <c r="D207" s="806" t="str">
        <f>AG2</f>
        <v/>
      </c>
      <c r="G207" s="107" t="str">
        <f>FORMULARIO!H24</f>
        <v>Elija la Opción    ▼</v>
      </c>
      <c r="I207" s="1123" t="s">
        <v>88</v>
      </c>
    </row>
    <row r="208" spans="1:11" ht="28.8" x14ac:dyDescent="0.3">
      <c r="A208" s="702" t="s">
        <v>518</v>
      </c>
      <c r="B208" s="702" t="s">
        <v>519</v>
      </c>
      <c r="C208" s="702" t="s">
        <v>520</v>
      </c>
      <c r="D208" s="702" t="s">
        <v>521</v>
      </c>
      <c r="E208" s="702" t="s">
        <v>522</v>
      </c>
      <c r="F208" s="703" t="s">
        <v>523</v>
      </c>
      <c r="G208" s="794" t="s">
        <v>524</v>
      </c>
      <c r="H208" s="704" t="s">
        <v>525</v>
      </c>
      <c r="I208" s="708" t="s">
        <v>526</v>
      </c>
      <c r="J208" s="709" t="s">
        <v>527</v>
      </c>
      <c r="K208" s="709" t="s">
        <v>528</v>
      </c>
    </row>
    <row r="209" spans="1:30" ht="15" x14ac:dyDescent="0.25">
      <c r="A209" s="621" t="s">
        <v>178</v>
      </c>
      <c r="B209" s="775" t="s">
        <v>529</v>
      </c>
      <c r="C209" s="775" t="s">
        <v>280</v>
      </c>
      <c r="D209" s="774" t="s">
        <v>530</v>
      </c>
      <c r="E209" s="165" t="s">
        <v>531</v>
      </c>
      <c r="F209" s="165" t="s">
        <v>523</v>
      </c>
      <c r="G209" s="706"/>
      <c r="H209" s="707">
        <v>96.73</v>
      </c>
      <c r="I209" s="705">
        <v>44.9</v>
      </c>
      <c r="J209" s="705">
        <v>26.67</v>
      </c>
      <c r="K209" s="705">
        <v>22.45</v>
      </c>
      <c r="L209" s="792" t="s">
        <v>532</v>
      </c>
    </row>
    <row r="210" spans="1:30" x14ac:dyDescent="0.25">
      <c r="A210" s="770" t="s">
        <v>307</v>
      </c>
      <c r="B210" s="621" t="s">
        <v>533</v>
      </c>
      <c r="C210" s="788">
        <f>IF(OR($B$207=$AF$1,$B$207=$AF$2,$B$207=$AF$3),116.37,IF($B$207=$AF$4,108.78,IF($B$207=$AF$5,70.32,"")))</f>
        <v>70.319999999999993</v>
      </c>
      <c r="D210" s="623">
        <f>IF(OR($B$207=$AF$1,$B$207=$AF$2,$B$207=$AF$3),43.71,IF($B$207=$AF$4,40.87,IF($B$207=$AF$5,39.37,"")))</f>
        <v>39.369999999999997</v>
      </c>
      <c r="E210" s="623">
        <v>26.67</v>
      </c>
      <c r="F210" s="788">
        <f>IF($B$207=$AF$1,23.67,IF(OR($B$207=$AF$2,$B$207=$AF$3),20.89,IF($B$207=$AF$4,20.44,IF($B$207=$AF$5,24.02,""))))</f>
        <v>24.02</v>
      </c>
      <c r="G210" s="793">
        <f>IF(G207=I207,0,D210/2)</f>
        <v>19.690000000000001</v>
      </c>
      <c r="H210" s="707">
        <v>149.44</v>
      </c>
      <c r="I210" s="705">
        <v>48.05</v>
      </c>
      <c r="J210" s="776">
        <v>26.67</v>
      </c>
      <c r="K210" s="776">
        <v>24.02</v>
      </c>
      <c r="L210" s="792" t="s">
        <v>534</v>
      </c>
    </row>
    <row r="211" spans="1:30" x14ac:dyDescent="0.25">
      <c r="A211" s="770" t="s">
        <v>311</v>
      </c>
      <c r="B211" s="623" t="s">
        <v>535</v>
      </c>
      <c r="C211" s="788">
        <f>IF(OR($B$207=$AF$1,$B$207=$AF$2,$B$207=$AF$3),116.37,IF($B$207=$AF$4,108.78,IF($B$207=$AF$5,100.07,"")))</f>
        <v>100.07</v>
      </c>
      <c r="D211" s="623">
        <f>IF(OR($B$207=$AF$1,$B$207=$AF$2,$B$207=$AF$3),43.71,IF($B$207=$AF$4,40.87,IF($B$207=$AF$5,53.79,"")))</f>
        <v>53.79</v>
      </c>
      <c r="E211" s="623">
        <v>26.67</v>
      </c>
      <c r="F211" s="788">
        <f>IF($B$207=$AF$1,23.67,IF(OR($B$207=$AF$1,$B$207=$AF$2,$B$207=$AF$3),20.89,IF($B$207=$AF$4,20.44,IF($B$207=$AF$5,24.02,""))))</f>
        <v>24.02</v>
      </c>
      <c r="G211" s="793">
        <f t="shared" ref="G211:G273" si="13">D211/2</f>
        <v>26.9</v>
      </c>
      <c r="H211" s="561"/>
      <c r="I211" s="802" t="s">
        <v>536</v>
      </c>
      <c r="J211" s="803">
        <v>0.58333333333333304</v>
      </c>
      <c r="K211" s="803">
        <v>0.625</v>
      </c>
      <c r="L211" s="803">
        <v>0.875</v>
      </c>
    </row>
    <row r="212" spans="1:30" ht="14.4" x14ac:dyDescent="0.25">
      <c r="A212" s="581" t="s">
        <v>180</v>
      </c>
      <c r="B212" s="777" t="s">
        <v>537</v>
      </c>
      <c r="C212" s="823">
        <f>IF($G$207=$I$207,155.66,IF(OR($B$207=$AF$1,$B$207=$AF$2,$B$207=$AF$3),142.04,IF($B$207=$AF$4,132.82,IF(AND(OR($B$207=$AF$5,$B$207=$AF$1),$AG$2&gt;$AG$5),170.39,""))))</f>
        <v>170.39</v>
      </c>
      <c r="D212" s="796">
        <f>IF($G$207=$I$207,68.52,IF(OR($B$207=$AF$1,$B$207=$AF$2,$B$207=$AF$3),63.63,IF($B$207=$AF$4,59.5,IF($B$207=$AF$5,87.15,""))))</f>
        <v>87.15</v>
      </c>
      <c r="E212" s="777">
        <f>IF(G207=I207,0,26.67)</f>
        <v>26.67</v>
      </c>
      <c r="F212" s="1211">
        <f>IF($G$207=$I$207,34.26,IF($B$207=$AF$1,23.67,IF(OR($B$207=$AF$1,$B$207=$AF$2,$B$207=$AF$3),20.89,IF($B$207=$AF$4,29.75,IF($B$207=$AF$5,24.02,"")))))</f>
        <v>24.02</v>
      </c>
      <c r="G212" s="793">
        <f>D212/2</f>
        <v>43.58</v>
      </c>
      <c r="I212" s="766" t="s">
        <v>538</v>
      </c>
    </row>
    <row r="213" spans="1:30" ht="14.4" x14ac:dyDescent="0.25">
      <c r="A213" s="581" t="s">
        <v>181</v>
      </c>
      <c r="B213" s="777" t="s">
        <v>533</v>
      </c>
      <c r="C213" s="796">
        <f>IF($G$207=$I$207,54.69,IF(OR($B$207=$AF$1,$B$207=$AF$2,$B$207=$AF$3),50.13,IF($B$207=$AF$4,46.88,IF($B$207=$AF$5,70.32,""))))</f>
        <v>70.319999999999993</v>
      </c>
      <c r="D213" s="796">
        <f>IF($G$207=$I$207,44.47,IF(OR($B$207=$AF$1,$B$207=$AF$2,$B$207=$AF$3),40.49,IF($B$207=$AF$4,37.86,IF($B$207=$AF$5,39.37,""))))</f>
        <v>39.369999999999997</v>
      </c>
      <c r="E213" s="777">
        <v>26.67</v>
      </c>
      <c r="F213" s="1211">
        <f>IF($G$207=$I$207,22.235,IF($B$207=$AF$1,23.67,IF(OR($B$207=$AF$1,$B$207=$AF$2,$B$207=$AF$3),20.89,IF($B$207=$AF$4,18.93,IF($B$207=$AF$5,24.02,"")))))</f>
        <v>24.02</v>
      </c>
      <c r="G213" s="793">
        <f t="shared" si="13"/>
        <v>19.690000000000001</v>
      </c>
      <c r="I213" s="767"/>
    </row>
    <row r="214" spans="1:30" ht="14.4" x14ac:dyDescent="0.3">
      <c r="A214" s="581" t="s">
        <v>183</v>
      </c>
      <c r="B214" s="777" t="s">
        <v>537</v>
      </c>
      <c r="C214" s="821">
        <f>IF($G$207=$I$207,158.67,IF(OR($B$207=$AF$1,$B$207=$AF$2,$B$207=$AF$3),144.61,IF($B$207=$AF$4,135.23,IF($B$207=$AF$5,170.32,""))))</f>
        <v>170.32</v>
      </c>
      <c r="D214" s="796">
        <f>IF($G$207=$I$207,66.71,IF(OR($B$207=$AF$1,$B$207=$AF$2,$B$207=$AF$3),63.63,IF($B$207=$AF$4,59.5,IF($B$207=$AF$5,87.15,""))))</f>
        <v>87.15</v>
      </c>
      <c r="E214" s="777">
        <v>26.67</v>
      </c>
      <c r="F214" s="1211">
        <f>IF($G$207=$I$207,33.355,IF($B$207=$AF$1,23.67,IF(OR($B$207=$AF$1,$B$207=$AF$2,$B$207=$AF$3),20.89,IF($B$207=$AF$4,29.75,IF($B$207=$AF$5,24.02,"")))))</f>
        <v>24.02</v>
      </c>
      <c r="G214" s="793">
        <f t="shared" si="13"/>
        <v>43.58</v>
      </c>
      <c r="I214" s="768" t="s">
        <v>539</v>
      </c>
    </row>
    <row r="215" spans="1:30" ht="14.4" x14ac:dyDescent="0.3">
      <c r="A215" s="581" t="s">
        <v>184</v>
      </c>
      <c r="B215" s="777" t="s">
        <v>537</v>
      </c>
      <c r="C215" s="821">
        <f>IF($G$207=$I$207,86.55,IF(OR($B$207=$AF$1,$B$207=$AF$2,$B$207=$AF$3),79.05,IF($B$207=$AF$4,73.92,IF($B$207=$AF$5,170.39,""))))</f>
        <v>170.39</v>
      </c>
      <c r="D215" s="796">
        <f>IF($G$207=$I$207,60.7,IF(OR($B$207=$AF$1,$B$207=$AF$2,$B$207=$AF$3),57.84,IF($B$207=$AF$4,54.09,IF($B$207=$AF$5,87.15,""))))</f>
        <v>87.15</v>
      </c>
      <c r="E215" s="777">
        <v>26.67</v>
      </c>
      <c r="F215" s="1211">
        <f>IF($G$207=$I$207,30.35,IF($B$207=$AF$1,23.67,IF(OR($B$207=$AF$1,$B$207=$AF$2,$B$207=$AF$3),20.89,IF($B$207=$AF$4,27.05,IF($B$207=$AF$5,24.02,"")))))</f>
        <v>24.02</v>
      </c>
      <c r="G215" s="793">
        <f t="shared" si="13"/>
        <v>43.58</v>
      </c>
      <c r="I215" s="768" t="s">
        <v>540</v>
      </c>
    </row>
    <row r="216" spans="1:30" ht="14.4" x14ac:dyDescent="0.25">
      <c r="A216" s="581" t="s">
        <v>185</v>
      </c>
      <c r="B216" s="777" t="s">
        <v>541</v>
      </c>
      <c r="C216" s="796">
        <f>IF($G$207=$I$207,119,IF(OR($B$207=$AF$1,$B$207=$AF$2,$B$207=$AF$3),108.62,IF($B$207=$AF$4,101.57,IF($B$207=$AF$5,118.1,""))))</f>
        <v>118.1</v>
      </c>
      <c r="D216" s="796">
        <f>IF($G$207=$I$207,51.09,IF(OR($B$207=$AF$1,$B$207=$AF$2,$B$207=$AF$3),47.56,IF($B$207=$AF$4,44.47,IF($B$207=$AF$5,62.55,""))))</f>
        <v>62.55</v>
      </c>
      <c r="E216" s="777">
        <v>26.67</v>
      </c>
      <c r="F216" s="1211">
        <f>IF($G$207=$I$207,25.545,IF($B$207=$AF$1,23.67,IF(OR($B$207=$AF$1,$B$207=$AF$2,$B$207=$AF$3),20.89,IF($B$207=$AF$4,22.24,IF($B$207=$AF$5,24.02,"")))))</f>
        <v>24.02</v>
      </c>
      <c r="G216" s="793">
        <f t="shared" si="13"/>
        <v>31.28</v>
      </c>
      <c r="I216" s="766" t="s">
        <v>542</v>
      </c>
    </row>
    <row r="217" spans="1:30" ht="14.4" x14ac:dyDescent="0.25">
      <c r="A217" s="581" t="s">
        <v>187</v>
      </c>
      <c r="B217" s="777" t="s">
        <v>537</v>
      </c>
      <c r="C217" s="821">
        <f>IF($G$207=$I$207,130.42,IF(OR($B$207=$AF$1,$B$207=$AF$2,$B$207=$AF$3),118.91,IF($B$207=$AF$4,111.19,IF($B$207=$AF$5,170.39,""))))</f>
        <v>170.39</v>
      </c>
      <c r="D217" s="796">
        <f>IF($G$207=$I$207,64.91,IF(OR($B$207=$AF$1,$B$207=$AF$2,$B$207=$AF$3),59.13,IF($B$207=$AF$4,55.29,IF($B$207=$AF$5,87.15,""))))</f>
        <v>87.15</v>
      </c>
      <c r="E217" s="777">
        <v>26.67</v>
      </c>
      <c r="F217" s="1211">
        <f>IF($G$207=$I$207,32.455,IF($B$207=$AF$1,23.67,IF(OR($B$207=$AF$1,$B$207=$AF$2,$B$207=$AF$3),20.89,IF($B$207=$AF$4,27.05,IF($B$207=$AF$5,24.02,"")))))</f>
        <v>24.02</v>
      </c>
      <c r="G217" s="793">
        <f t="shared" si="13"/>
        <v>43.58</v>
      </c>
      <c r="I217" s="766" t="s">
        <v>543</v>
      </c>
    </row>
    <row r="218" spans="1:30" x14ac:dyDescent="0.25">
      <c r="A218" s="770" t="s">
        <v>323</v>
      </c>
      <c r="B218" s="819" t="s">
        <v>537</v>
      </c>
      <c r="C218" s="822">
        <f>IF(OR($B$207=$AF$1,$B$207=$AF$2,$B$207=$AF$3),116.33,IF($B$207=$AF$4,108.78,IF($B$207=$AF$5,170.39,"")))</f>
        <v>170.39</v>
      </c>
      <c r="D218" s="623">
        <f>IF(OR($B$207=$AF$1,$B$207=$AF$2,$B$207=$AF$3),43.71,IF($B$207=$AF$4,40.87,IF($B$207=$AF$5,87.15,"")))</f>
        <v>87.15</v>
      </c>
      <c r="E218" s="623">
        <v>26.67</v>
      </c>
      <c r="F218" s="788">
        <f>IF($B$207=$AF$1,23.67,IF(OR($B$207=$AF$1,$B$207=$AF$2,$B$207=$AF$3),20.89,IF($B$207=$AF$4,20.44,IF($B$207=$AF$5,24.02,""))))</f>
        <v>24.02</v>
      </c>
      <c r="G218" s="793">
        <f t="shared" si="13"/>
        <v>43.58</v>
      </c>
    </row>
    <row r="219" spans="1:30" s="498" customFormat="1" ht="15.6" x14ac:dyDescent="0.25">
      <c r="A219" s="165" t="s">
        <v>188</v>
      </c>
      <c r="B219" s="777" t="s">
        <v>541</v>
      </c>
      <c r="C219" s="796">
        <f>IF($G$207=$I$207,94.96,IF(OR($B$207=$AF$1,$B$207=$AF$2,$B$207=$AF$3),86.77,IF($B$207=$AF$4,81.14,IF($B$207=$AF$5,118.1,""))))</f>
        <v>118.1</v>
      </c>
      <c r="D219" s="796">
        <f>IF($G$207=$I$207,57.1,IF(OR($B$207=$AF$1,$B$207=$AF$2,$B$207=$AF$3),54.64,IF($B$207=$AF$4,51.09,IF($B$207=$AF$5,62.55,""))))</f>
        <v>62.55</v>
      </c>
      <c r="E219" s="777">
        <v>26.67</v>
      </c>
      <c r="F219" s="1212">
        <f>IF($G$207=$I$207,28.55,IF($B$207=$AF$1,23.67,IF(OR($B$207=$AF$1,$B$207=$AF$2,$B$207=$AF$3),20.89,IF($B$207=$AF$4,25.55,IF($B$207=$AF$5,24.02,"")))))</f>
        <v>24.02</v>
      </c>
      <c r="G219" s="793">
        <f t="shared" si="13"/>
        <v>31.28</v>
      </c>
      <c r="H219" s="780"/>
      <c r="I219" s="781" t="s">
        <v>544</v>
      </c>
      <c r="X219" s="499"/>
      <c r="Y219" s="499"/>
      <c r="Z219" s="780"/>
      <c r="AC219" s="499"/>
      <c r="AD219" s="499"/>
    </row>
    <row r="220" spans="1:30" s="498" customFormat="1" ht="15.6" x14ac:dyDescent="0.25">
      <c r="A220" s="165" t="s">
        <v>190</v>
      </c>
      <c r="B220" s="777" t="s">
        <v>541</v>
      </c>
      <c r="C220" s="796">
        <f>IF($G$207=$I$207,112.39,IF(OR($B$207=$AF$1,$B$207=$AF$2,$B$207=$AF$3),102.19,IF($B$207=$AF$4,95.56,IF($B$207=$AF$5,118.1,""))))</f>
        <v>118.1</v>
      </c>
      <c r="D220" s="796">
        <f>IF($G$207=$I$207,66.11,IF(OR($B$207=$AF$1,$B$207=$AF$2,$B$207=$AF$3),62.99,IF($B$207=$AF$4,58.9,IF($B$207=$AF$5,62.55,""))))</f>
        <v>62.55</v>
      </c>
      <c r="E220" s="777">
        <v>26.67</v>
      </c>
      <c r="F220" s="1212">
        <f>IF($G$207=$I$207,33.055,IF($B$207=$AF$1,23.67,IF(OR($B$207=$AF$1,$B$207=$AF$2,$B$207=$AF$3),20.89,IF($B$207=$AF$4,29.45,IF($B$207=$AF$5,24.02,"")))))</f>
        <v>24.02</v>
      </c>
      <c r="G220" s="793">
        <f t="shared" si="13"/>
        <v>31.28</v>
      </c>
      <c r="H220" s="780"/>
      <c r="I220" s="781" t="s">
        <v>545</v>
      </c>
      <c r="X220" s="499"/>
      <c r="Y220" s="499"/>
      <c r="Z220" s="780"/>
      <c r="AC220" s="499"/>
      <c r="AD220" s="499"/>
    </row>
    <row r="221" spans="1:30" ht="15.6" x14ac:dyDescent="0.25">
      <c r="A221" s="770" t="s">
        <v>328</v>
      </c>
      <c r="B221" s="819" t="s">
        <v>537</v>
      </c>
      <c r="C221" s="822">
        <f>IF(OR($B$207=$AF$1,$B$207=$AF$2,$B$207=$AF$3),116.33,IF($B$207=$AF$4,108.78,IF($B$207=$AF$5,170.39,"")))</f>
        <v>170.39</v>
      </c>
      <c r="D221" s="623">
        <f>IF(OR($B$207=$AF$1,$B$207=$AF$2,$B$207=$AF$3),43.71,IF($B$207=$AF$4,40.87,IF($B$207=$AF$5,87.15,"")))</f>
        <v>87.15</v>
      </c>
      <c r="E221" s="623">
        <v>26.67</v>
      </c>
      <c r="F221" s="788">
        <f>IF($B$207=$AF$1,23.67,IF(OR($B$207=$AF$1,$B$207=$AF$2,$B$207=$AF$3),20.89,IF($B$207=$AF$4,20.44,IF($B$207=$AF$5,24.02,""))))</f>
        <v>24.02</v>
      </c>
      <c r="G221" s="793">
        <f t="shared" si="13"/>
        <v>43.58</v>
      </c>
      <c r="I221" s="769" t="s">
        <v>546</v>
      </c>
    </row>
    <row r="222" spans="1:30" ht="15.6" x14ac:dyDescent="0.25">
      <c r="A222" s="770" t="s">
        <v>330</v>
      </c>
      <c r="B222" s="623" t="s">
        <v>533</v>
      </c>
      <c r="C222" s="788">
        <f>IF(OR($B$207=$AF$1,$B$207=$AF$2,$B$207=$AF$3),116.37,IF($B$207=$AF$4,108.78,IF($B$207=$AF$5,70.32,"")))</f>
        <v>70.319999999999993</v>
      </c>
      <c r="D222" s="623">
        <f>IF(OR($B$207=$AF$1,$B$207=$AF$2,$B$207=$AF$3),43.71,IF($B$207=$AF$4,40.87,IF($B$207=$AF$5,39.37,"")))</f>
        <v>39.369999999999997</v>
      </c>
      <c r="E222" s="623">
        <v>26.67</v>
      </c>
      <c r="F222" s="788">
        <f>IF($B$207=$AF$1,23.67,IF(OR($B$207=$AF$1,$B$207=$AF$2,$B$207=$AF$3),20.89,IF($B$207=$AF$4,20.44,IF($B$207=$AF$5,24.02,""))))</f>
        <v>24.02</v>
      </c>
      <c r="G222" s="793">
        <f t="shared" si="13"/>
        <v>19.690000000000001</v>
      </c>
      <c r="I222" s="565" t="s">
        <v>547</v>
      </c>
    </row>
    <row r="223" spans="1:30" ht="15.6" x14ac:dyDescent="0.25">
      <c r="A223" s="770" t="s">
        <v>332</v>
      </c>
      <c r="B223" s="621" t="s">
        <v>533</v>
      </c>
      <c r="C223" s="788">
        <f>IF(OR($B$207=$AF$1,$B$207=$AF$2,$B$207=$AF$3),116.37,IF($B$207=$AF$4,108.78,IF($B$207=$AF$5,70.32,"")))</f>
        <v>70.319999999999993</v>
      </c>
      <c r="D223" s="623">
        <f>IF(OR($B$207=$AF$1,$B$207=$AF$2,$B$207=$AF$3),43.71,IF($B$207=$AF$4,40.87,IF($B$207=$AF$5,39.37,"")))</f>
        <v>39.369999999999997</v>
      </c>
      <c r="E223" s="623">
        <v>26.67</v>
      </c>
      <c r="F223" s="788">
        <f>IF($B$207=$AF$1,23.67,IF(OR($B$207=$AF$1,$B$207=$AF$2,$B$207=$AF$3),20.89,IF($B$207=$AF$4,20.44,IF($B$207=$AF$5,24.02,""))))</f>
        <v>24.02</v>
      </c>
      <c r="G223" s="793">
        <f t="shared" si="13"/>
        <v>19.690000000000001</v>
      </c>
      <c r="I223" s="769" t="s">
        <v>548</v>
      </c>
    </row>
    <row r="224" spans="1:30" ht="15.6" x14ac:dyDescent="0.25">
      <c r="A224" s="770" t="s">
        <v>333</v>
      </c>
      <c r="B224" s="621" t="s">
        <v>533</v>
      </c>
      <c r="C224" s="788">
        <f>IF(OR($B$207=$AF$1,$B$207=$AF$2,$B$207=$AF$3),116.37,IF($B$207=$AF$4,108.78,IF($B$207=$AF$5,70.32,"")))</f>
        <v>70.319999999999993</v>
      </c>
      <c r="D224" s="623">
        <f>IF(OR($B$207=$AF$1,$B$207=$AF$2,$B$207=$AF$3),43.71,IF($B$207=$AF$4,40.87,IF($B$207=$AF$5,39.37,"")))</f>
        <v>39.369999999999997</v>
      </c>
      <c r="E224" s="623">
        <v>26.67</v>
      </c>
      <c r="F224" s="788">
        <f>IF($B$207=$AF$1,23.67,IF(OR($B$207=$AF$1,$B$207=$AF$2,$B$207=$AF$3),20.89,IF($B$207=$AF$4,20.44,IF($B$207=$AF$5,24.02,""))))</f>
        <v>24.02</v>
      </c>
      <c r="G224" s="793">
        <f t="shared" si="13"/>
        <v>19.690000000000001</v>
      </c>
      <c r="I224" s="565" t="s">
        <v>549</v>
      </c>
    </row>
    <row r="225" spans="1:9" ht="15.6" x14ac:dyDescent="0.25">
      <c r="A225" s="770" t="s">
        <v>334</v>
      </c>
      <c r="B225" s="819" t="s">
        <v>537</v>
      </c>
      <c r="C225" s="822">
        <f>IF(OR($B$207=$AF$1,$B$207=$AF$2,$B$207=$AF$3),116.33,IF($B$207=$AF$4,108.78,IF($B$207=$AF$5,170.39,"")))</f>
        <v>170.39</v>
      </c>
      <c r="D225" s="623">
        <f>IF(OR($B$207=$AF$1,$B$207=$AF$2,$B$207=$AF$3),43.71,IF($B$207=$AF$4,40.87,IF($B$207=$AF$5,87.15,"")))</f>
        <v>87.15</v>
      </c>
      <c r="E225" s="623">
        <v>26.67</v>
      </c>
      <c r="F225" s="788">
        <f>IF($B$207=$AF$1,23.67,IF(OR($B$207=$AF$1,$B$207=$AF$2,$B$207=$AF$3),20.89,IF($B$207=$AF$4,20.44,IF($B$207=$AF$5,24.02,""))))</f>
        <v>24.02</v>
      </c>
      <c r="G225" s="793">
        <f t="shared" si="13"/>
        <v>43.58</v>
      </c>
      <c r="I225" s="565" t="s">
        <v>550</v>
      </c>
    </row>
    <row r="226" spans="1:9" x14ac:dyDescent="0.25">
      <c r="A226" s="581" t="s">
        <v>191</v>
      </c>
      <c r="B226" s="820" t="s">
        <v>537</v>
      </c>
      <c r="C226" s="821">
        <f>IF($G$207=$I$207,174.29,IF(OR($B$207=$AF$1,$B$207=$AF$2,$B$207=$AF$3),158.75,IF($B$207=$AF$4,148.45,IF($B$207=$AF$5,170.39,""))))</f>
        <v>170.39</v>
      </c>
      <c r="D226" s="797">
        <f>IF($G$207=$I$207,91.35,IF(OR($B$207=$AF$1,$B$207=$AF$2,$B$207=$AF$3),88.7,IF($B$207=$AF$4,82.94,IF($B$207=$AF$5,87.15,""))))</f>
        <v>87.15</v>
      </c>
      <c r="E226" s="778">
        <v>26.67</v>
      </c>
      <c r="F226" s="1211">
        <f>IF($G$207=$I$207,45.675,IF($B$207=$AF$1,23.67,IF(OR($B$207=$AF$1,$B$207=$AF$2,$B$207=$AF$3),20.89,IF($B$207=$AF$4,41.47,IF($B$207=$AF$5,24.02,"")))))</f>
        <v>24.02</v>
      </c>
      <c r="G226" s="793">
        <f t="shared" si="13"/>
        <v>43.58</v>
      </c>
    </row>
    <row r="227" spans="1:9" x14ac:dyDescent="0.25">
      <c r="A227" s="770" t="s">
        <v>338</v>
      </c>
      <c r="B227" s="621" t="s">
        <v>533</v>
      </c>
      <c r="C227" s="821">
        <f>IF(OR($B$207=$AF$1,$B$207=$AF$2,$B$207=$AF$3),116.33,IF($B$207=$AF$4,108.78,IF($B$207=$AF$5,70.32,"")))</f>
        <v>70.319999999999993</v>
      </c>
      <c r="D227" s="623">
        <f>IF(OR($B$207=$AF$1,$B$207=$AF$2,$B$207=$AF$3),43.71,IF($B$207=$AF$4,40.87,IF($B$207=$AF$5,39.37,"")))</f>
        <v>39.369999999999997</v>
      </c>
      <c r="E227" s="623">
        <v>26.67</v>
      </c>
      <c r="F227" s="788">
        <f>IF($B$207=$AF$1,23.67,IF(OR($B$207=$AF$1,$B$207=$AF$2,$B$207=$AF$3),20.89,IF($B$207=$AF$4,20.44,IF($B$207=$AF$5,24.02,""))))</f>
        <v>24.02</v>
      </c>
      <c r="G227" s="793">
        <f t="shared" si="13"/>
        <v>19.690000000000001</v>
      </c>
    </row>
    <row r="228" spans="1:9" x14ac:dyDescent="0.25">
      <c r="A228" s="770" t="s">
        <v>341</v>
      </c>
      <c r="B228" s="621" t="s">
        <v>533</v>
      </c>
      <c r="C228" s="788">
        <f>IF(OR($B$207=$AF$1,$B$207=$AF$2,$B$207=$AF$3),116.37,IF($B$207=$AF$4,108.78,IF($B$207=$AF$5,70.32,"")))</f>
        <v>70.319999999999993</v>
      </c>
      <c r="D228" s="623">
        <f>IF(OR($B$207=$AF$1,$B$207=$AF$2,$B$207=$AF$3),43.71,IF($B$207=$AF$4,40.87,IF($B$207=$AF$5,39.37,"")))</f>
        <v>39.369999999999997</v>
      </c>
      <c r="E228" s="623">
        <v>26.67</v>
      </c>
      <c r="F228" s="788">
        <f>IF($B$207=$AF$1,23.67,IF(OR($B$207=$AF$1,$B$207=$AF$2,$B$207=$AF$3),20.89,IF($B$207=$AF$4,20.44,IF($B$207=$AF$5,24.02,""))))</f>
        <v>24.02</v>
      </c>
      <c r="G228" s="793">
        <f t="shared" si="13"/>
        <v>19.690000000000001</v>
      </c>
      <c r="I228" s="67" t="s">
        <v>551</v>
      </c>
    </row>
    <row r="229" spans="1:9" x14ac:dyDescent="0.25">
      <c r="A229" s="770" t="s">
        <v>343</v>
      </c>
      <c r="B229" s="621" t="s">
        <v>535</v>
      </c>
      <c r="C229" s="788">
        <f>IF(OR($B$207=$AF$1,$B$207=$AF$2,$B$207=$AF$3),116.37,IF($B$207=$AF$4,108.78,IF($B$207=$AF$5,100.07,"")))</f>
        <v>100.07</v>
      </c>
      <c r="D229" s="623">
        <f>IF(OR($B$207=$AF$1,$B$207=$AF$2,$B$207=$AF$3),43.71,IF($B$207=$AF$4,40.87,IF($B$207=$AF$5,62.55,"")))</f>
        <v>62.55</v>
      </c>
      <c r="E229" s="623">
        <v>26.67</v>
      </c>
      <c r="F229" s="788">
        <f>IF($B$207=$AF$1,23.67,IF(OR($B$207=$AF$1,$B$207=$AF$2,$B$207=$AF$3),20.89,IF($B$207=$AF$4,20.44,IF($B$207=$AF$5,24.02,""))))</f>
        <v>24.02</v>
      </c>
      <c r="G229" s="793">
        <f t="shared" si="13"/>
        <v>31.28</v>
      </c>
      <c r="I229" s="67" t="s">
        <v>552</v>
      </c>
    </row>
    <row r="230" spans="1:9" x14ac:dyDescent="0.25">
      <c r="A230" s="165" t="s">
        <v>192</v>
      </c>
      <c r="B230" s="777" t="s">
        <v>533</v>
      </c>
      <c r="C230" s="796">
        <f>IF($G$207=$I$207,60.1,IF(OR($B$207=$AF$1,$B$207=$AF$2,$B$207=$AF$3),54.64,IF($B$207=$AF$4,51.09,IF($B$207=$AF$5,70.39,""))))</f>
        <v>70.39</v>
      </c>
      <c r="D230" s="796">
        <f>IF($G$207=$I$207,42.67,IF(OR($B$207=$AF$1,$B$207=$AF$2,$B$207=$AF$3),39.2,IF($B$207=$AF$4,36.66,IF($B$207=$AF$5,39.37,""))))</f>
        <v>39.369999999999997</v>
      </c>
      <c r="E230" s="777">
        <v>26.67</v>
      </c>
      <c r="F230" s="1212">
        <f>IF($G$207=$I$207,21.335,IF($B$207=$AF$1,23.67,IF(OR($B$207=$AF$1,$B$207=$AF$2,$B$207=$AF$3),20.89,IF($B$207=$AF$4,18.33,IF($B$207=$AF$5,24.02,"")))))</f>
        <v>24.02</v>
      </c>
      <c r="G230" s="793">
        <f t="shared" si="13"/>
        <v>19.690000000000001</v>
      </c>
    </row>
    <row r="231" spans="1:9" x14ac:dyDescent="0.25">
      <c r="A231" s="165" t="s">
        <v>193</v>
      </c>
      <c r="B231" s="777" t="s">
        <v>535</v>
      </c>
      <c r="C231" s="796">
        <f>IF($G$207=$I$207,85.34,IF(OR($B$207=$AF$1,$B$207=$AF$2,$B$207=$AF$3),77.77,IF($B$207=$AF$4,72.72,IF($B$207=$AF$5,100.07,""))))</f>
        <v>100.07</v>
      </c>
      <c r="D231" s="796">
        <f>IF($G$207=$I$207,57.7,IF(OR($B$207=$AF$1,$B$207=$AF$2,$B$207=$AF$3),53.34,IF($B$207=$AF$4,49.88,IF($B$207=$AF$5,53.79,""))))</f>
        <v>53.79</v>
      </c>
      <c r="E231" s="777">
        <v>26.67</v>
      </c>
      <c r="F231" s="1212">
        <f>IF($G$207=$I$207,28.85,IF($B$207=$AF$1,23.67,IF(OR($B$207=$AF$1,$B$207=$AF$2,$B$207=$AF$3),20.89,IF($B$207=$AF$4,24.94,IF($B$207=$AF$5,24.02,"")))))</f>
        <v>24.02</v>
      </c>
      <c r="G231" s="793">
        <f t="shared" si="13"/>
        <v>26.9</v>
      </c>
    </row>
    <row r="232" spans="1:9" x14ac:dyDescent="0.25">
      <c r="A232" s="770" t="s">
        <v>347</v>
      </c>
      <c r="B232" s="621" t="s">
        <v>533</v>
      </c>
      <c r="C232" s="788">
        <f>IF(OR($B$207=$AF$1,$B$207=$AF$2,$B$207=$AF$3),116.37,IF($B$207=$AF$4,108.78,IF($B$207=$AF$5,70.32,"")))</f>
        <v>70.319999999999993</v>
      </c>
      <c r="D232" s="623">
        <f>IF(OR($B$207=$AF$1,$B$207=$AF$2,$B$207=$AF$3),43.71,IF($B$207=$AF$4,40.87,IF($B$207=$AF$5,39.37,"")))</f>
        <v>39.369999999999997</v>
      </c>
      <c r="E232" s="623">
        <v>26.67</v>
      </c>
      <c r="F232" s="788">
        <f>IF($B$207=$AF$1,23.67,IF(OR($B$207=$AF$1,$B$207=$AF$2,$B$207=$AF$3),20.89,IF($B$207=$AF$4,20.44,IF($B$207=$AF$5,24.02,""))))</f>
        <v>24.02</v>
      </c>
      <c r="G232" s="793">
        <f t="shared" si="13"/>
        <v>19.690000000000001</v>
      </c>
    </row>
    <row r="233" spans="1:9" x14ac:dyDescent="0.25">
      <c r="A233" s="581" t="s">
        <v>194</v>
      </c>
      <c r="B233" s="778" t="s">
        <v>537</v>
      </c>
      <c r="C233" s="821">
        <f>IF($G$207=$I$207,150.25,IF(OR($B$207=$AF$1,$B$207=$AF$2,$B$207=$AF$3),136.9,IF($B$207=$AF$4,128.02,IF($B$207=$AF$5,170.39,""))))</f>
        <v>170.39</v>
      </c>
      <c r="D233" s="797">
        <f>IF($G$207=$I$207,91.35,IF(OR($B$207=$AF$1,$B$207=$AF$2,$B$207=$AF$3),84.84,IF($B$207=$AF$4,79.33,IF($B$207=$AF$5,87.15,""))))</f>
        <v>87.15</v>
      </c>
      <c r="E233" s="778">
        <v>26.67</v>
      </c>
      <c r="F233" s="1211">
        <f>IF($G$207=$I$207,45.675,IF($B$207=$AF$1,23.67,IF(OR($B$207=$AF$1,$B$207=$AF$2,$B$207=$AF$3),20.89,IF($B$207=$AF$4,39.67,IF($B$207=$AF$5,24.02,"")))))</f>
        <v>24.02</v>
      </c>
      <c r="G233" s="793">
        <f t="shared" si="13"/>
        <v>43.58</v>
      </c>
    </row>
    <row r="234" spans="1:9" x14ac:dyDescent="0.25">
      <c r="A234" s="770" t="s">
        <v>351</v>
      </c>
      <c r="B234" s="623" t="s">
        <v>535</v>
      </c>
      <c r="C234" s="788">
        <f>IF(OR($B$207=$AF$1,$B$207=$AF$2,$B$207=$AF$3),116.37,IF($B$207=$AF$4,108.78,IF($B$207=$AF$5,100.07,"")))</f>
        <v>100.07</v>
      </c>
      <c r="D234" s="623">
        <f>IF(OR($B$207=$AF$1,$B$207=$AF$2,$B$207=$AF$3),43.71,IF($B$207=$AF$4,40.87,IF($B$207=$AF$5,53.79,"")))</f>
        <v>53.79</v>
      </c>
      <c r="E234" s="623">
        <v>26.67</v>
      </c>
      <c r="F234" s="788">
        <f>IF($B$207=$AF$1,23.67,IF(OR($B$207=$AF$1,$B$207=$AF$2,$B$207=$AF$3),20.89,IF($B$207=$AF$4,20.44,IF($B$207=$AF$5,24.02,""))))</f>
        <v>24.02</v>
      </c>
      <c r="G234" s="793">
        <f t="shared" si="13"/>
        <v>26.9</v>
      </c>
    </row>
    <row r="235" spans="1:9" x14ac:dyDescent="0.25">
      <c r="A235" s="581" t="s">
        <v>195</v>
      </c>
      <c r="B235" s="778" t="s">
        <v>533</v>
      </c>
      <c r="C235" s="797">
        <f>IF($G$207=$I$207,62.51,IF(OR($B$207=$AF$1,$B$207=$AF$2,$B$207=$AF$3),57.2,IF($B$207=$AF$4,56.49,IF($B$207=$AF$5,70.32,""))))</f>
        <v>70.319999999999993</v>
      </c>
      <c r="D235" s="797">
        <f>IF($G$207=$I$207,44.47,IF(OR($B$207=$AF$1,$B$207=$AF$2,$B$207=$AF$3),40.49,IF($B$207=$AF$4,37.86,IF($B$207=$AF$5,39.37,""))))</f>
        <v>39.369999999999997</v>
      </c>
      <c r="E235" s="778">
        <v>26.67</v>
      </c>
      <c r="F235" s="1211">
        <f>IF($G$207=$I$207,22.235,IF($B$207=$AF$1,23.67,IF(OR($B$207=$AF$1,$B$207=$AF$2,$B$207=$AF$3),20.89,IF($B$207=$AF$4,18.93,IF($B$207=$AF$5,24.02,"")))))</f>
        <v>24.02</v>
      </c>
      <c r="G235" s="793">
        <f t="shared" si="13"/>
        <v>19.690000000000001</v>
      </c>
    </row>
    <row r="236" spans="1:9" x14ac:dyDescent="0.25">
      <c r="A236" s="770" t="s">
        <v>354</v>
      </c>
      <c r="B236" s="621" t="s">
        <v>553</v>
      </c>
      <c r="C236" s="797">
        <f>IF(OR($B$207=$AF$1,$B$207=$AF$2,$B$207=$AF$3),116.33,IF($B$207=$AF$4,108.78,IF($B$207=$AF$5,70.32,"")))</f>
        <v>70.319999999999993</v>
      </c>
      <c r="D236" s="623">
        <f t="shared" ref="D236" si="14">IF(OR($B$207=$AF$1,$B$207=$AF$2,$B$207=$AF$3),43.71,IF($B$207=$AF$4,40.87,IF($B$207=$AF$5,53.79,"")))</f>
        <v>53.79</v>
      </c>
      <c r="E236" s="623">
        <v>26.67</v>
      </c>
      <c r="F236" s="788">
        <f>IF($B$207=$AF$1,23.67,IF(OR($B$207=$AF$1,$B$207=$AF$2,$B$207=$AF$3),20.89,IF($B$207=$AF$4,20.44,IF($B$207=$AF$5,24.02,""))))</f>
        <v>24.02</v>
      </c>
      <c r="G236" s="793">
        <f t="shared" si="13"/>
        <v>26.9</v>
      </c>
    </row>
    <row r="237" spans="1:9" x14ac:dyDescent="0.25">
      <c r="A237" s="770" t="s">
        <v>356</v>
      </c>
      <c r="B237" s="621" t="s">
        <v>533</v>
      </c>
      <c r="C237" s="797">
        <f t="shared" ref="C237:C240" si="15">IF(OR($B$207=$AF$1,$B$207=$AF$2,$B$207=$AF$3),116.33,IF($B$207=$AF$4,108.78,IF($B$207=$AF$5,70.32,"")))</f>
        <v>70.319999999999993</v>
      </c>
      <c r="D237" s="623">
        <f>IF(OR($B$207=$AF$1,$B$207=$AF$2,$B$207=$AF$3),43.71,IF($B$207=$AF$4,40.87,IF($B$207=$AF$5,39.37,"")))</f>
        <v>39.369999999999997</v>
      </c>
      <c r="E237" s="623">
        <v>26.67</v>
      </c>
      <c r="F237" s="788">
        <f>IF($B$207=$AF$1,23.67,IF(OR($B$207=$AF$1,$B$207=$AF$2,$B$207=$AF$3),20.89,IF($B$207=$AF$4,20.44,IF($B$207=$AF$5,24.02,""))))</f>
        <v>24.02</v>
      </c>
      <c r="G237" s="793">
        <f t="shared" si="13"/>
        <v>19.690000000000001</v>
      </c>
    </row>
    <row r="238" spans="1:9" x14ac:dyDescent="0.25">
      <c r="A238" s="770" t="s">
        <v>358</v>
      </c>
      <c r="B238" s="623" t="s">
        <v>533</v>
      </c>
      <c r="C238" s="797">
        <f t="shared" si="15"/>
        <v>70.319999999999993</v>
      </c>
      <c r="D238" s="623">
        <f>IF(OR($B$207=$AF$1,$B$207=$AF$2,$B$207=$AF$3),43.71,IF($B$207=$AF$4,40.87,IF($B$207=$AF$5,39.37,"")))</f>
        <v>39.369999999999997</v>
      </c>
      <c r="E238" s="623">
        <v>26.67</v>
      </c>
      <c r="F238" s="788">
        <f>IF($B$207=$AF$1,23.67,IF(OR($B$207=$AF$1,$B$207=$AF$2,$B$207=$AF$3),20.89,IF($B$207=$AF$4,20.44,IF($B$207=$AF$5,24.02,""))))</f>
        <v>24.02</v>
      </c>
      <c r="G238" s="793">
        <f t="shared" si="13"/>
        <v>19.690000000000001</v>
      </c>
    </row>
    <row r="239" spans="1:9" x14ac:dyDescent="0.25">
      <c r="A239" s="770" t="s">
        <v>359</v>
      </c>
      <c r="B239" s="621" t="s">
        <v>533</v>
      </c>
      <c r="C239" s="797">
        <f t="shared" si="15"/>
        <v>70.319999999999993</v>
      </c>
      <c r="D239" s="623">
        <f>IF(OR($B$207=$AF$1,$B$207=$AF$2,$B$207=$AF$3),43.71,IF($B$207=$AF$4,40.87,IF($B$207=$AF$5,39.37,"")))</f>
        <v>39.369999999999997</v>
      </c>
      <c r="E239" s="623">
        <v>26.67</v>
      </c>
      <c r="F239" s="788">
        <f>IF($B$207=$AF$1,23.67,IF(OR($B$207=$AF$1,$B$207=$AF$2,$B$207=$AF$3),20.89,IF($B$207=$AF$4,20.44,IF($B$207=$AF$5,24.02,""))))</f>
        <v>24.02</v>
      </c>
      <c r="G239" s="793">
        <f t="shared" si="13"/>
        <v>19.690000000000001</v>
      </c>
    </row>
    <row r="240" spans="1:9" x14ac:dyDescent="0.25">
      <c r="A240" s="770" t="s">
        <v>361</v>
      </c>
      <c r="B240" s="621" t="s">
        <v>533</v>
      </c>
      <c r="C240" s="797">
        <f t="shared" si="15"/>
        <v>70.319999999999993</v>
      </c>
      <c r="D240" s="623">
        <f>IF(OR($B$207=$AF$1,$B$207=$AF$2,$B$207=$AF$3),43.71,IF($B$207=$AF$4,40.87,IF($B$207=$AF$5,39.37,"")))</f>
        <v>39.369999999999997</v>
      </c>
      <c r="E240" s="623">
        <v>26.67</v>
      </c>
      <c r="F240" s="788">
        <f>IF($B$207=$AF$1,23.67,IF(OR($B$207=$AF$1,$B$207=$AF$2,$B$207=$AF$3),20.89,IF($B$207=$AF$4,20.44,IF($B$207=$AF$5,24.02,""))))</f>
        <v>24.02</v>
      </c>
      <c r="G240" s="793">
        <f t="shared" si="13"/>
        <v>19.690000000000001</v>
      </c>
    </row>
    <row r="241" spans="1:30" x14ac:dyDescent="0.25">
      <c r="A241" s="581" t="s">
        <v>363</v>
      </c>
      <c r="B241" s="778" t="s">
        <v>541</v>
      </c>
      <c r="C241" s="797">
        <f>IF($G$207=$I$207,103.37,IF(OR($B$207=$AF$1,$B$207=$AF$2,$B$207=$AF$3),94.48,IF($B$207=$AF$4,88.35,IF($B$207=$AF$5,118.1,""))))</f>
        <v>118.1</v>
      </c>
      <c r="D241" s="797">
        <f>IF($G$207=$I$207,55.29,IF(OR($B$207=$AF$1,$B$207=$AF$2,$B$207=$AF$3),52.06,IF($B$207=$AF$4,48.68,IF($B$207=$AF$5,62.55,""))))</f>
        <v>62.55</v>
      </c>
      <c r="E241" s="778">
        <v>26.67</v>
      </c>
      <c r="F241" s="1211">
        <f>IF($G$207=$I$207,27.645,IF($B$207=$AF$1,23.67,IF(OR($B$207=$AF$1,$B$207=$AF$2,$B$207=$AF$3),20.89,IF($B$207=$AF$4,24.34,IF($B$207=$AF$5,24.02,"")))))</f>
        <v>24.02</v>
      </c>
      <c r="G241" s="793">
        <f t="shared" si="13"/>
        <v>31.28</v>
      </c>
    </row>
    <row r="242" spans="1:30" x14ac:dyDescent="0.25">
      <c r="A242" s="581" t="s">
        <v>364</v>
      </c>
      <c r="B242" s="778" t="s">
        <v>554</v>
      </c>
      <c r="C242" s="797">
        <f>IF($G$207=$I$207,110.59,IF(OR($B$207=$AF$1,$B$207=$AF$2,$B$207=$AF$3),100.91,IF($B$207=$AF$4,94.36,IF($B$207=$AF$5,118.1,""))))</f>
        <v>118.1</v>
      </c>
      <c r="D242" s="797">
        <f>IF($G$207=$I$207,58.3,IF(OR($B$207=$AF$1,$B$207=$AF$2,$B$207=$AF$3),55.28,IF($B$207=$AF$4,51.69,IF($B$207=$AF$5,87.15,""))))</f>
        <v>87.15</v>
      </c>
      <c r="E242" s="778">
        <v>26.67</v>
      </c>
      <c r="F242" s="1211">
        <f>IF($G$207=$I$207,29.15,IF($B$207=$AF$1,23.67,IF(OR($B$207=$AF$1,$B$207=$AF$2,$B$207=$AF$3),20.89,IF($B$207=$AF$4,25.85,IF($B$207=$AF$5,24.02,"")))))</f>
        <v>24.02</v>
      </c>
      <c r="G242" s="793">
        <f t="shared" si="13"/>
        <v>43.58</v>
      </c>
    </row>
    <row r="243" spans="1:30" x14ac:dyDescent="0.25">
      <c r="A243" s="770" t="s">
        <v>366</v>
      </c>
      <c r="B243" s="623" t="s">
        <v>535</v>
      </c>
      <c r="C243" s="788">
        <f>IF(OR($B$207=$AF$1,$B$207=$AF$2,$B$207=$AF$3),116.37,IF($B$207=$AF$4,108.78,IF($B$207=$AF$5,100.07,"")))</f>
        <v>100.07</v>
      </c>
      <c r="D243" s="623">
        <f>IF(OR($B$207=$AF$1,$B$207=$AF$2,$B$207=$AF$3),43.71,IF($B$207=$AF$4,40.87,IF($B$207=$AF$5,53.79,"")))</f>
        <v>53.79</v>
      </c>
      <c r="E243" s="623">
        <v>26.67</v>
      </c>
      <c r="F243" s="788">
        <f>IF($B$207=$AF$1,23.67,IF(OR($B$207=$AF$1,$B$207=$AF$2,$B$207=$AF$3),20.89,IF($B$207=$AF$4,20.44,IF($B$207=$AF$5,24.02,""))))</f>
        <v>24.02</v>
      </c>
      <c r="G243" s="793">
        <f t="shared" si="13"/>
        <v>26.9</v>
      </c>
    </row>
    <row r="244" spans="1:30" x14ac:dyDescent="0.25">
      <c r="A244" s="581" t="s">
        <v>198</v>
      </c>
      <c r="B244" s="820" t="s">
        <v>537</v>
      </c>
      <c r="C244" s="821">
        <f>IF($G$207=$I$207,120.2,IF(OR($B$207=$AF$1,$B$207=$AF$2,$B$207=$AF$3),109.26,IF($B$207=$AF$4,102.17,IF($B$207=$AF$5,170.39,""))))</f>
        <v>170.39</v>
      </c>
      <c r="D244" s="798">
        <f>IF($G$207=$I$207,57.7,IF(OR($B$207=$AF$1,$B$207=$AF$2,$B$207=$AF$3),53.99,IF($B$207=$AF$4,50.49,IF($B$207=$AF$5,87.15,""))))</f>
        <v>87.15</v>
      </c>
      <c r="E244" s="753">
        <v>26.67</v>
      </c>
      <c r="F244" s="1211">
        <f>IF($G$207=$I$207,28.85,IF($B$207=$AF$1,23.67,IF(OR($B$207=$AF$1,$B$207=$AF$2,$B$207=$AF$3),20.89,IF($B$207=$AF$4,25.25,IF($B$207=$AF$5,24.02,"")))))</f>
        <v>24.02</v>
      </c>
      <c r="G244" s="793">
        <f t="shared" si="13"/>
        <v>43.58</v>
      </c>
    </row>
    <row r="245" spans="1:30" x14ac:dyDescent="0.25">
      <c r="A245" s="581" t="s">
        <v>199</v>
      </c>
      <c r="B245" s="820" t="s">
        <v>537</v>
      </c>
      <c r="C245" s="821">
        <f>IF($G$207=$I$207,84.14,IF(OR($B$207=$AF$1,$B$207=$AF$2,$B$207=$AF$3),76.48,IF($B$207=$AF$4,71.52,IF($B$207=$AF$5,170.39,""))))</f>
        <v>170.39</v>
      </c>
      <c r="D245" s="798">
        <f>IF($G$207=$I$207,51.69,IF(OR($B$207=$AF$1,$B$207=$AF$2,$B$207=$AF$3),49.49,IF($B$207=$AF$4,46.28,IF($B$207=$AF$5,87.15,""))))</f>
        <v>87.15</v>
      </c>
      <c r="E245" s="753">
        <v>26.67</v>
      </c>
      <c r="F245" s="1211">
        <f>IF($G$207=$I$207,25.845,IF($B$207=$AF$1,23.67,IF(OR($B$207=$AF$1,$B$207=$AF$2,$B$207=$AF$3),20.89,IF($B$207=$AF$4,25.25,IF($B$207=$AF$5,24.02,"")))))</f>
        <v>24.02</v>
      </c>
      <c r="G245" s="793">
        <f t="shared" si="13"/>
        <v>43.58</v>
      </c>
    </row>
    <row r="246" spans="1:30" s="67" customFormat="1" x14ac:dyDescent="0.25">
      <c r="A246" s="770" t="s">
        <v>371</v>
      </c>
      <c r="B246" s="621" t="s">
        <v>535</v>
      </c>
      <c r="C246" s="788">
        <f>IF(OR($B$207=$AF$1,$B$207=$AF$2,$B$207=$AF$3),116.37,IF($B$207=$AF$4,108.78,IF($B$207=$AF$5,100.07,"")))</f>
        <v>100.07</v>
      </c>
      <c r="D246" s="623">
        <f>IF(OR($B$207=$AF$1,$B$207=$AF$2,$B$207=$AF$3),43.71,IF($B$207=$AF$4,40.87,IF($B$207=$AF$5,53.79,"")))</f>
        <v>53.79</v>
      </c>
      <c r="E246" s="621">
        <v>26.67</v>
      </c>
      <c r="F246" s="1213">
        <f>IF($B$207=$AF$1,23.67,IF(OR($B$207=$AF$1,$B$207=$AF$2,$B$207=$AF$3),20.89,IF($B$207=$AF$4,20.44,IF($B$207=$AF$5,24.02,""))))</f>
        <v>24.02</v>
      </c>
      <c r="G246" s="793">
        <f t="shared" si="13"/>
        <v>26.9</v>
      </c>
      <c r="H246" s="165"/>
      <c r="X246" s="153"/>
      <c r="Y246" s="153"/>
      <c r="Z246" s="165"/>
      <c r="AC246" s="153"/>
      <c r="AD246" s="153"/>
    </row>
    <row r="247" spans="1:30" x14ac:dyDescent="0.25">
      <c r="A247" s="581" t="s">
        <v>200</v>
      </c>
      <c r="B247" s="778" t="s">
        <v>537</v>
      </c>
      <c r="C247" s="821">
        <f>IF($G$207=$I$207,145.44,IF(OR($B$207=$AF$1,$B$207=$AF$2,$B$207=$AF$3),132.4,IF($B$207=$AF$4,123.81,IF($B$207=$AF$5,170.39,""))))</f>
        <v>170.39</v>
      </c>
      <c r="D247" s="797">
        <f>IF($G$207=$I$207,90.15,IF(OR($B$207=$AF$1,$B$207=$AF$2,$B$207=$AF$3),83.55,IF($B$207=$AF$4,78.13,IF($B$207=$AF$5,87.15,""))))</f>
        <v>87.15</v>
      </c>
      <c r="E247" s="778">
        <v>26.67</v>
      </c>
      <c r="F247" s="1211">
        <f>IF($G$207=$I$207,45.075,IF($B$207=$AF$1,23.67,IF(OR($B$207=$AF$1,$B$207=$AF$2,$B$207=$AF$3),20.89,IF($B$207=$AF$4,39.07,IF($B$207=$AF$5,24.02,"")))))</f>
        <v>24.02</v>
      </c>
      <c r="G247" s="793">
        <f t="shared" si="13"/>
        <v>43.58</v>
      </c>
    </row>
    <row r="248" spans="1:30" x14ac:dyDescent="0.25">
      <c r="A248" s="770" t="s">
        <v>374</v>
      </c>
      <c r="B248" s="621" t="s">
        <v>541</v>
      </c>
      <c r="C248" s="788">
        <f>IF($G$207=$I$207,119,IF(OR($B$207=$AF$1,$B$207=$AF$2,$B$207=$AF$3),116.37,IF($B$207=$AF$4,108.78,IF($B$207=$AF$5,118.1,""))))</f>
        <v>118.1</v>
      </c>
      <c r="D248" s="623">
        <f>IF(OR($B$207=$AF$1,$B$207=$AF$2,$B$207=$AF$3),43.71,IF($B$207=$AF$4,40.87,IF($B$207=$AF$5,62.55,"")))</f>
        <v>62.55</v>
      </c>
      <c r="E248" s="623">
        <v>26.67</v>
      </c>
      <c r="F248" s="788">
        <f>IF($B$207=$AF$1,23.67,IF(OR($B$207=$AF$1,$B$207=$AF$2,$B$207=$AF$3),20.89,IF($B$207=$AF$4,20.44,IF($B$207=$AF$5,24.02,""))))</f>
        <v>24.02</v>
      </c>
      <c r="G248" s="793">
        <f t="shared" si="13"/>
        <v>31.28</v>
      </c>
    </row>
    <row r="249" spans="1:30" x14ac:dyDescent="0.25">
      <c r="A249" s="783" t="s">
        <v>201</v>
      </c>
      <c r="B249" s="787" t="s">
        <v>535</v>
      </c>
      <c r="C249" s="799">
        <f>IF($G$207=$I$207,120.2,IF(OR($B$207=$AF$1,$B$207=$AF$2,$B$207=$AF$3),109.26,IF($B$207=$AF$4,102.17,IF($B$207=$AF$5,100.07,""))))</f>
        <v>100.07</v>
      </c>
      <c r="D249" s="799">
        <f>IF($G$207=$I$207,62.51,IF(OR($B$207=$AF$1,$B$207=$AF$2,$B$207=$AF$3),59.13,IF($B$207=$AF$4,55.29,IF($B$207=$AF$5,53.79,""))))</f>
        <v>53.79</v>
      </c>
      <c r="E249" s="787">
        <v>26.67</v>
      </c>
      <c r="F249" s="1214">
        <f>IF($G$207=$I$207,31.255,IF($B$207=$AF$1,23.67,IF(OR($B$207=$AF$1,$B$207=$AF$2,$B$207=$AF$3),20.89,IF($B$207=$AF$4,27.65,IF($B$207=$AF$5,24.02,"")))))</f>
        <v>24.02</v>
      </c>
      <c r="G249" s="793">
        <f t="shared" si="13"/>
        <v>26.9</v>
      </c>
    </row>
    <row r="250" spans="1:30" x14ac:dyDescent="0.25">
      <c r="A250" s="783" t="s">
        <v>378</v>
      </c>
      <c r="B250" s="787" t="s">
        <v>537</v>
      </c>
      <c r="C250" s="799">
        <f>IF(OR($B$207=$AF$1,$B$207=$AF$2,$B$207=$AF$3),109.26,IF($B$207=$AF$4,102.17,IF($B$207=$AF$5,170.39,"")))</f>
        <v>170.39</v>
      </c>
      <c r="D250" s="799">
        <f>IF(OR($B$207=$AF$1,$B$207=$AF$2,$B$207=$AF$3),59.13,IF($B$207=$AF$4,55.29,IF($B$207=$AF$5,87.15,"")))</f>
        <v>87.15</v>
      </c>
      <c r="E250" s="787">
        <v>26.67</v>
      </c>
      <c r="F250" s="1214">
        <f>IF($B$207=$AF$1,23.67,IF(OR($B$207=$AF$1,$B$207=$AF$2,$B$207=$AF$3),20.89,IF($B$207=$AF$4,27.65,IF($B$207=$AF$5,24.02,""))))</f>
        <v>24.02</v>
      </c>
      <c r="G250" s="793">
        <f t="shared" si="13"/>
        <v>43.58</v>
      </c>
    </row>
    <row r="251" spans="1:30" x14ac:dyDescent="0.25">
      <c r="A251" s="581" t="s">
        <v>202</v>
      </c>
      <c r="B251" s="778" t="s">
        <v>535</v>
      </c>
      <c r="C251" s="797">
        <f>IF($G$207=$I$207,72.12,IF($G$207=$I$207,72.12,IF(OR($B$207=$AF$1,$B$207=$AF$2,$B$207=$AF$3),65.55,IF($B$207=$AF$4,61.3,IF($B$207=$AF$5,100.07,"")))))</f>
        <v>100.07</v>
      </c>
      <c r="D251" s="797">
        <f>IF($G$207=$I$207,52.29,IF(OR($B$207=$AF$1,$B$207=$AF$2,$B$207=$AF$3),52.7,IF($B$207=$AF$4,49.28,IF($B$207=$AF$5,53.79,""))))</f>
        <v>53.79</v>
      </c>
      <c r="E251" s="778">
        <v>26.67</v>
      </c>
      <c r="F251" s="1211">
        <f>IF($G$207=$I$207,26.145,IF($B$207=$AF$1,23.67,IF(OR($B$207=$AF$1,$B$207=$AF$2,$B$207=$AF$3),20.89,IF($B$207=$AF$4,24.64,IF($B$207=$AF$5,24.02,"")))))</f>
        <v>24.02</v>
      </c>
      <c r="G251" s="793">
        <f t="shared" si="13"/>
        <v>26.9</v>
      </c>
    </row>
    <row r="252" spans="1:30" x14ac:dyDescent="0.25">
      <c r="A252" s="581" t="s">
        <v>203</v>
      </c>
      <c r="B252" s="778" t="s">
        <v>535</v>
      </c>
      <c r="C252" s="797">
        <f>IF($G$207=$I$207,76.93,IF(OR($B$207=$AF$1,$B$207=$AF$2,$B$207=$AF$3),70.06,IF($B$207=$AF$4,65.51,IF($B$207=$AF$5,100.07,""))))</f>
        <v>100.07</v>
      </c>
      <c r="D252" s="797">
        <f>IF($G$207=$I$207,57.7,IF(OR($B$207=$AF$1,$B$207=$AF$2,$B$207=$AF$3),47.56,IF($B$207=$AF$4,44.47,IF($B$207=$AF$5,53.79,""))))</f>
        <v>53.79</v>
      </c>
      <c r="E252" s="778">
        <v>26.67</v>
      </c>
      <c r="F252" s="1211">
        <f>IF($G$207=$I$207,28.85,IF($B$207=$AF$1,23.67,IF(OR($B$207=$AF$1,$B$207=$AF$2,$B$207=$AF$3),20.89,IF($B$207=$AF$4,22.24,IF($B$207=$AF$5,24.02,"")))))</f>
        <v>24.02</v>
      </c>
      <c r="G252" s="793">
        <f t="shared" si="13"/>
        <v>26.9</v>
      </c>
    </row>
    <row r="253" spans="1:30" x14ac:dyDescent="0.25">
      <c r="A253" s="581" t="s">
        <v>204</v>
      </c>
      <c r="B253" s="778" t="s">
        <v>535</v>
      </c>
      <c r="C253" s="797">
        <f>IF($G$207=$I$207,85.34,IF(OR($B$207=$AF$1,$B$207=$AF$2,$B$207=$AF$3),77.77,IF($B$207=$AF$4,72.72,IF($B$207=$AF$5,100.07,""))))</f>
        <v>100.07</v>
      </c>
      <c r="D253" s="797">
        <f>IF($G$207=$I$207,38.46,IF(OR($B$207=$AF$1,$B$207=$AF$2,$B$207=$AF$3),53.34,IF($B$207=$AF$4,49.88,IF($B$207=$AF$5,53.79,""))))</f>
        <v>53.79</v>
      </c>
      <c r="E253" s="778">
        <v>26.67</v>
      </c>
      <c r="F253" s="1211">
        <f>IF($G$207=$I$207,19.23,IF($B$207=$AF$1,23.67,IF(OR($B$207=$AF$1,$B$207=$AF$2,$B$207=$AF$3),20.89,IF($B$207=$AF$4,29.94,IF($B$207=$AF$5,24.02,"")))))</f>
        <v>24.02</v>
      </c>
      <c r="G253" s="793">
        <f t="shared" si="13"/>
        <v>26.9</v>
      </c>
    </row>
    <row r="254" spans="1:30" x14ac:dyDescent="0.25">
      <c r="A254" s="581" t="s">
        <v>206</v>
      </c>
      <c r="B254" s="778" t="s">
        <v>533</v>
      </c>
      <c r="C254" s="797">
        <f>IF($G$207=$I$207,66.11,IF(OR($B$207=$AF$1,$B$207=$AF$2,$B$207=$AF$3),60.42,IF($B$207=$AF$4,56.5,IF($B$207=$AF$5,70.32,""))))</f>
        <v>70.319999999999993</v>
      </c>
      <c r="D254" s="797">
        <f>IF($G$207=$I$207,72.12,IF(OR($B$207=$AF$1,$B$207=$AF$2,$B$207=$AF$3),35.35,IF($B$207=$AF$4,33.06,IF($B$207=$AF$5,39.37,""))))</f>
        <v>39.369999999999997</v>
      </c>
      <c r="E254" s="778">
        <v>26.67</v>
      </c>
      <c r="F254" s="1211">
        <f>IF($G$207=$I$207,36.06,IF($B$207=$AF$1,23.67,IF(OR($B$207=$AF$1,$B$207=$AF$2,$B$207=$AF$3),20.89,IF($B$207=$AF$4,16.53,IF($B$207=$AF$5,24.02,"")))))</f>
        <v>24.02</v>
      </c>
      <c r="G254" s="793">
        <f t="shared" si="13"/>
        <v>19.690000000000001</v>
      </c>
    </row>
    <row r="255" spans="1:30" x14ac:dyDescent="0.25">
      <c r="A255" s="581" t="s">
        <v>207</v>
      </c>
      <c r="B255" s="778" t="s">
        <v>537</v>
      </c>
      <c r="C255" s="797">
        <f>IF($G$207=$I$207,144.24,IF(OR($B$207=$AF$1,$B$207=$AF$2,$B$207=$AF$3),131.12,IF($B$207=$AF$4,122.61,IF($B$207=$AF$5,170.39,""))))</f>
        <v>170.39</v>
      </c>
      <c r="D255" s="797">
        <f>IF($G$207=$I$207,42.07,IF(OR($B$207=$AF$1,$B$207=$AF$2,$B$207=$AF$3),69.41,IF($B$207=$AF$4,64.91,IF($B$207=$AF$5,87.15,""))))</f>
        <v>87.15</v>
      </c>
      <c r="E255" s="778">
        <v>26.67</v>
      </c>
      <c r="F255" s="1211">
        <f>IF($G$207=$I$207,21.035,IF($B$207=$AF$1,23.67,IF(OR($B$207=$AF$1,$B$207=$AF$2,$B$207=$AF$3),20.89,IF($B$207=$AF$4,32.46,IF($B$207=$AF$5,24.02,"")))))</f>
        <v>24.02</v>
      </c>
      <c r="G255" s="793">
        <f t="shared" si="13"/>
        <v>43.58</v>
      </c>
    </row>
    <row r="256" spans="1:30" x14ac:dyDescent="0.25">
      <c r="A256" s="581" t="s">
        <v>208</v>
      </c>
      <c r="B256" s="778" t="s">
        <v>535</v>
      </c>
      <c r="C256" s="797">
        <f>IF($G$207=$I$207,75.73,IF(OR($B$207=$AF$1,$B$207=$AF$2,$B$207=$AF$3),69.41,IF($B$207=$AF$4,64.91,IF($B$207=$AF$5,100.07,""))))</f>
        <v>100.07</v>
      </c>
      <c r="D256" s="797">
        <f>IF($G$207=$I$207,44.47,IF(OR($B$207=$AF$1,$B$207=$AF$2,$B$207=$AF$3),46.24,IF($B$207=$AF$4,43.27,IF($B$207=$AF$5,53.79,""))))</f>
        <v>53.79</v>
      </c>
      <c r="E256" s="778">
        <v>26.67</v>
      </c>
      <c r="F256" s="1211">
        <f>IF($G$207=$I$207,22.235,IF($B$207=$AF$1,23.67,IF(OR($B$207=$AF$1,$B$207=$AF$2,$B$207=$AF$3),20.89,IF($B$207=$AF$4,21.65,IF($B$207=$AF$5,24.02,"")))))</f>
        <v>24.02</v>
      </c>
      <c r="G256" s="793">
        <f t="shared" si="13"/>
        <v>26.9</v>
      </c>
    </row>
    <row r="257" spans="1:8" x14ac:dyDescent="0.25">
      <c r="A257" s="581" t="s">
        <v>209</v>
      </c>
      <c r="B257" s="778" t="s">
        <v>541</v>
      </c>
      <c r="C257" s="797">
        <f>IF($G$207=$I$207,106.98,IF(OR($B$207=$AF$1,$B$207=$AF$2,$B$207=$AF$3),97.69,IF($B$207=$AF$4,91.35,IF($B$207=$AF$5,118.1,""))))</f>
        <v>118.1</v>
      </c>
      <c r="D257" s="797">
        <f>IF($G$207=$I$207,50.49,IF(OR($B$207=$AF$1,$B$207=$AF$2,$B$207=$AF$3),41.78,IF($B$207=$AF$4,39.07,IF($B$207=$AF$5,62.55,""))))</f>
        <v>62.55</v>
      </c>
      <c r="E257" s="778">
        <v>26.67</v>
      </c>
      <c r="F257" s="1211">
        <f>IF($G$207=$I$207,25.245,IF($B$207=$AF$1,23.67,IF(OR($B$207=$AF$1,$B$207=$AF$2,$B$207=$AF$3),20.89,IF($B$207=$AF$4,19.54,IF($B$207=$AF$5,24.02,"")))))</f>
        <v>24.02</v>
      </c>
      <c r="G257" s="793">
        <f t="shared" si="13"/>
        <v>31.28</v>
      </c>
    </row>
    <row r="258" spans="1:8" x14ac:dyDescent="0.25">
      <c r="A258" s="581" t="s">
        <v>210</v>
      </c>
      <c r="B258" s="778" t="s">
        <v>535</v>
      </c>
      <c r="C258" s="797">
        <f>IF($G$207=$I$207,77.53,IF(OR($B$207=$AF$1,$B$207=$AF$2,$B$207=$AF$3),70.7,IF($B$207=$AF$4,66.11,IF($B$207=$AF$5,100.07,""))))</f>
        <v>100.07</v>
      </c>
      <c r="D258" s="797">
        <f>IF($G$207=$I$207,50.49,IF(OR($B$207=$AF$1,$B$207=$AF$2,$B$207=$AF$3),46.27,IF($B$207=$AF$4,43.27,IF($B$207=$AF$5,53.79,""))))</f>
        <v>53.79</v>
      </c>
      <c r="E258" s="778">
        <v>26.67</v>
      </c>
      <c r="F258" s="1211">
        <f>IF($G$207=$I$207,25.245,IF($B$207=$AF$1,23.67,IF(OR($B$207=$AF$1,$B$207=$AF$2,$B$207=$AF$3),20.89,IF($B$207=$AF$4,21.64,IF($B$207=$AF$5,24.02,"")))))</f>
        <v>24.02</v>
      </c>
      <c r="G258" s="793">
        <f t="shared" si="13"/>
        <v>26.9</v>
      </c>
    </row>
    <row r="259" spans="1:8" x14ac:dyDescent="0.25">
      <c r="A259" s="581" t="s">
        <v>385</v>
      </c>
      <c r="B259" s="778" t="s">
        <v>537</v>
      </c>
      <c r="C259" s="797">
        <f>IF($G$207=$I$207,119,IF(OR($B$207=$AF$1,$B$207=$AF$2,$B$207=$AF$3),108.62,IF($B$207=$AF$4,101.57,IF($B$207=$AF$5,170.39,""))))</f>
        <v>170.39</v>
      </c>
      <c r="D259" s="797">
        <f>IF($G$207=$I$207,63.71,IF(OR($B$207=$AF$1,$B$207=$AF$2,$B$207=$AF$3),60.42,IF($B$207=$AF$4,56.5,IF($B$207=$AF$5,87.15,""))))</f>
        <v>87.15</v>
      </c>
      <c r="E259" s="778">
        <v>26.67</v>
      </c>
      <c r="F259" s="1211">
        <f>IF($G$207=$I$207,31.855,IF($B$207=$AF$1,23.67,IF(OR($B$207=$AF$1,$B$207=$AF$2,$B$207=$AF$3),20.89,IF($B$207=$AF$4,28.25,IF($B$207=$AF$5,24.02,"")))))</f>
        <v>24.02</v>
      </c>
      <c r="G259" s="793">
        <f t="shared" si="13"/>
        <v>43.58</v>
      </c>
    </row>
    <row r="260" spans="1:8" x14ac:dyDescent="0.25">
      <c r="A260" s="770" t="s">
        <v>388</v>
      </c>
      <c r="B260" s="621" t="s">
        <v>533</v>
      </c>
      <c r="C260" s="788">
        <f>IF(OR($B$207=$AF$1,$B$207=$AF$2,$B$207=$AF$3),116.37,IF($B$207=$AF$4,108.78,IF($B$207=$AF$5,70.32,"")))</f>
        <v>70.319999999999993</v>
      </c>
      <c r="D260" s="623">
        <f>IF(OR($B$207=$AF$1,$B$207=$AF$2,$B$207=$AF$3),43.71,IF($B$207=$AF$4,40.87,IF($B$207=$AF$5,39.37,"")))</f>
        <v>39.369999999999997</v>
      </c>
      <c r="E260" s="623">
        <v>26.67</v>
      </c>
      <c r="F260" s="788">
        <f>IF($B$207=$AF$1,23.67,IF(OR($B$207=$AF$1,$B$207=$AF$2,$B$207=$AF$3),20.89,IF($B$207=$AF$4,20.44,IF($B$207=$AF$5,24.02,""))))</f>
        <v>24.02</v>
      </c>
      <c r="G260" s="793">
        <f t="shared" si="13"/>
        <v>19.690000000000001</v>
      </c>
    </row>
    <row r="261" spans="1:8" x14ac:dyDescent="0.25">
      <c r="A261" s="581" t="s">
        <v>212</v>
      </c>
      <c r="B261" s="778" t="s">
        <v>535</v>
      </c>
      <c r="C261" s="797">
        <f>IF($G$207=$I$207,88.95,IF(OR($B$207=$AF$1,$B$207=$AF$2,$B$207=$AF$3),80.99,IF($B$207=$AF$4,75.73,IF($B$207=$AF$5,100.07,""))))</f>
        <v>100.07</v>
      </c>
      <c r="D261" s="797">
        <f>IF($G$207=$I$207,49.88,IF(OR($B$207=$AF$1,$B$207=$AF$2,$B$207=$AF$3),46.27,IF($B$207=$AF$4,43.27,IF($B$207=$AF$5,62.55,""))))</f>
        <v>62.55</v>
      </c>
      <c r="E261" s="778">
        <v>26.67</v>
      </c>
      <c r="F261" s="1211">
        <f>IF($G$207=$I$207,24.94,IF($B$207=$AF$1,23.67,IF(OR($B$207=$AF$1,$B$207=$AF$2,$B$207=$AF$3),20.89,IF($B$207=$AF$4,21.64,IF($B$207=$AF$5,24.02,"")))))</f>
        <v>24.02</v>
      </c>
      <c r="G261" s="793">
        <f t="shared" si="13"/>
        <v>31.28</v>
      </c>
    </row>
    <row r="262" spans="1:8" x14ac:dyDescent="0.25">
      <c r="A262" s="770" t="s">
        <v>391</v>
      </c>
      <c r="B262" s="621" t="s">
        <v>535</v>
      </c>
      <c r="C262" s="788">
        <f>IF(OR($B$207=$AF$1,$B$207=$AF$2,$B$207=$AF$3),116.37,IF($B$207=$AF$4,108.78,IF($B$207=$AF$5,100.07,"")))</f>
        <v>100.07</v>
      </c>
      <c r="D262" s="623">
        <f>IF(OR($B$207=$AF$1,$B$207=$AF$2,$B$207=$AF$3),43.71,IF($B$207=$AF$4,40.87,IF($B$207=$AF$5,53.79,"")))</f>
        <v>53.79</v>
      </c>
      <c r="E262" s="623">
        <v>26.67</v>
      </c>
      <c r="F262" s="788">
        <f>IF($B$207=$AF$1,23.67,IF(OR($B$207=$AF$1,$B$207=$AF$2,$B$207=$AF$3),20.89,IF($B$207=$AF$4,20.44,IF($B$207=$AF$5,24.02,""))))</f>
        <v>24.02</v>
      </c>
      <c r="G262" s="793">
        <f t="shared" si="13"/>
        <v>26.9</v>
      </c>
    </row>
    <row r="263" spans="1:8" x14ac:dyDescent="0.25">
      <c r="A263" s="581" t="s">
        <v>213</v>
      </c>
      <c r="B263" s="778" t="s">
        <v>537</v>
      </c>
      <c r="C263" s="797">
        <f>IF($G$207=$I$207,168.28,IF(OR($B$207=$AF$1,$B$207=$AF$2,$B$207=$AF$3),152.97,IF($B$207=$AF$4,143.04,IF($B$207=$AF$5,170.9,""))))</f>
        <v>170.9</v>
      </c>
      <c r="D263" s="797">
        <f>IF($G$207=$I$207,77.53,IF(OR($B$207=$AF$1,$B$207=$AF$2,$B$207=$AF$3),74.56,IF($B$207=$AF$4,69.72,IF($B$207=$AF$5,87.15,""))))</f>
        <v>87.15</v>
      </c>
      <c r="E263" s="778">
        <v>26.67</v>
      </c>
      <c r="F263" s="1211">
        <f>IF($G$207=$I$207,38.765,IF($B$207=$AF$1,23.67,IF(OR($B$207=$AF$1,$B$207=$AF$2,$B$207=$AF$3),20.89,IF($B$207=$AF$4,34.86,IF($B$207=$AF$5,24.02,"")))))</f>
        <v>24.02</v>
      </c>
      <c r="G263" s="793">
        <f t="shared" si="13"/>
        <v>43.58</v>
      </c>
    </row>
    <row r="264" spans="1:8" x14ac:dyDescent="0.25">
      <c r="A264" s="770" t="s">
        <v>393</v>
      </c>
      <c r="B264" s="623" t="s">
        <v>541</v>
      </c>
      <c r="C264" s="788">
        <f>IF(OR($B$207=$AF$1,$B$207=$AF$2,$B$207=$AF$3),116.37,IF($B$207=$AF$4,108.78,IF($B$207=$AF$5,118.1,"")))</f>
        <v>118.1</v>
      </c>
      <c r="D264" s="623">
        <f>IF(OR($B$207=$AF$1,$B$207=$AF$2,$B$207=$AF$3),43.71,IF($B$207=$AF$4,40.87,IF($B$207=$AF$5,62.55,"")))</f>
        <v>62.55</v>
      </c>
      <c r="E264" s="623">
        <v>26.67</v>
      </c>
      <c r="F264" s="788">
        <f>IF($B$207=$AF$1,23.67,IF(OR($B$207=$AF$1,$B$207=$AF$2,$B$207=$AF$3),20.89,IF($B$207=$AF$4,20.44,IF($B$207=$AF$5,24.02,""))))</f>
        <v>24.02</v>
      </c>
      <c r="G264" s="793">
        <f t="shared" si="13"/>
        <v>31.28</v>
      </c>
    </row>
    <row r="265" spans="1:8" x14ac:dyDescent="0.25">
      <c r="A265" s="581" t="s">
        <v>214</v>
      </c>
      <c r="B265" s="778" t="s">
        <v>541</v>
      </c>
      <c r="C265" s="797">
        <f>IF($G$207=$I$207,140.04,IF(OR($B$207=$AF$1,$B$207=$AF$2,$B$207=$AF$3),127.9,IF($B$207=$AF$4,119.6,IF($B$207=$AF$5,118.1,""))))</f>
        <v>118.1</v>
      </c>
      <c r="D265" s="797">
        <f>IF($G$207=$I$207,43.87,IF(OR($B$207=$AF$1,$B$207=$AF$2,$B$207=$AF$3),40.49,IF($B$207=$AF$4,37.86,IF($B$207=$AF$5,62.55,""))))</f>
        <v>62.55</v>
      </c>
      <c r="E265" s="778">
        <v>26.67</v>
      </c>
      <c r="F265" s="788">
        <f>IF($G$207=$I$207,21.935,IF($B$207=$AF$1,23.67,IF(OR($B$207=$AF$1,$B$207=$AF$2,$B$207=$AF$3),20.89,IF($B$207=$AF$4,20.44,IF($B$207=$AF$5,24.02,"")))))</f>
        <v>24.02</v>
      </c>
      <c r="G265" s="793">
        <f t="shared" si="13"/>
        <v>31.28</v>
      </c>
    </row>
    <row r="266" spans="1:8" x14ac:dyDescent="0.25">
      <c r="A266" s="581" t="s">
        <v>215</v>
      </c>
      <c r="B266" s="778" t="s">
        <v>535</v>
      </c>
      <c r="C266" s="797">
        <f>IF($G$207=$I$207,84.14,IF(OR($B$207=$AF$1,$B$207=$AF$2,$B$207=$AF$3),76.48,IF($B$207=$AF$4,71.52,IF($B$207=$AF$5,100.07,""))))</f>
        <v>100.07</v>
      </c>
      <c r="D266" s="797">
        <f>IF($G$207=$I$207,45.08,IF(OR($B$207=$AF$1,$B$207=$AF$2,$B$207=$AF$3),42.42,IF($B$207=$AF$4,39.67,IF($B$207=$AF$5,53.79,""))))</f>
        <v>53.79</v>
      </c>
      <c r="E266" s="778">
        <v>26.67</v>
      </c>
      <c r="F266" s="1211">
        <f>IF($G$207=$I$207,22.54,IF($B$207=$AF$1,23.67,IF(OR($B$207=$AF$1,$B$207=$AF$2,$B$207=$AF$3),20.89,IF($B$207=$AF$4,19.84,IF($B$207=$AF$5,24.02,"")))))</f>
        <v>24.02</v>
      </c>
      <c r="G266" s="793">
        <f t="shared" si="13"/>
        <v>26.9</v>
      </c>
      <c r="H266" s="165" t="s">
        <v>555</v>
      </c>
    </row>
    <row r="267" spans="1:8" x14ac:dyDescent="0.25">
      <c r="A267" s="581" t="s">
        <v>216</v>
      </c>
      <c r="B267" s="778" t="s">
        <v>541</v>
      </c>
      <c r="C267" s="797">
        <f>IF($G$207=$I$207,134.63,IF(OR($B$207=$AF$1,$B$207=$AF$2,$B$207=$AF$3),122.76,IF($B$207=$AF$4,114.79,IF($B$207=$AF$5,118.1,""))))</f>
        <v>118.1</v>
      </c>
      <c r="D267" s="797">
        <f>IF($G$207=$I$207,72.72,IF(OR($B$207=$AF$1,$B$207=$AF$2,$B$207=$AF$3),70.06,IF($B$207=$AF$4,65.51,IF($B$207=$AF$5,62.55,""))))</f>
        <v>62.55</v>
      </c>
      <c r="E267" s="778">
        <v>26.67</v>
      </c>
      <c r="F267" s="1211">
        <f>IF($G$207=$I$207,36.36,IF($B$207=$AF$1,23.67,IF(OR($B$207=$AF$1,$B$207=$AF$2,$B$207=$AF$3),20.89,IF($B$207=$AF$4,32.76,IF($B$207=$AF$5,24.02,"")))))</f>
        <v>24.02</v>
      </c>
      <c r="G267" s="793">
        <f t="shared" si="13"/>
        <v>31.28</v>
      </c>
    </row>
    <row r="268" spans="1:8" x14ac:dyDescent="0.25">
      <c r="A268" s="770" t="s">
        <v>398</v>
      </c>
      <c r="B268" s="621" t="s">
        <v>533</v>
      </c>
      <c r="C268" s="788">
        <f>IF(OR($B$207=$AF$1,$B$207=$AF$2,$B$207=$AF$3),116.37,IF($B$207=$AF$4,108.78,IF($B$207=$AF$5,70.32,"")))</f>
        <v>70.319999999999993</v>
      </c>
      <c r="D268" s="623">
        <f>IF(OR($B$207=$AF$1,$B$207=$AF$2,$B$207=$AF$3),43.71,IF($B$207=$AF$4,40.87,IF($B$207=$AF$5,39.37,"")))</f>
        <v>39.369999999999997</v>
      </c>
      <c r="E268" s="623">
        <v>26.67</v>
      </c>
      <c r="F268" s="788">
        <f>IF($B$207=$AF$1,23.67,IF(OR($B$207=$AF$1,$B$207=$AF$2,$B$207=$AF$3),20.89,IF($B$207=$AF$4,20.44,IF($B$207=$AF$5,24.02,""))))</f>
        <v>24.02</v>
      </c>
      <c r="G268" s="793">
        <f t="shared" si="13"/>
        <v>19.690000000000001</v>
      </c>
    </row>
    <row r="269" spans="1:8" x14ac:dyDescent="0.25">
      <c r="A269" s="581" t="s">
        <v>217</v>
      </c>
      <c r="B269" s="778" t="s">
        <v>537</v>
      </c>
      <c r="C269" s="797">
        <f>IF($G$207=$I$207,144.24,IF(OR($B$207=$AF$1,$B$207=$AF$2,$B$207=$AF$3),131.12,IF($B$207=$AF$4,122.61,IF($B$207=$AF$5,170.39,""))))</f>
        <v>170.39</v>
      </c>
      <c r="D269" s="797">
        <f>IF($G$207=$I$207,72.72,IF(OR($B$207=$AF$1,$B$207=$AF$2,$B$207=$AF$3),70.06,IF($B$207=$AF$4,65.51,IF($B$207=$AF$5,87.15,""))))</f>
        <v>87.15</v>
      </c>
      <c r="E269" s="778">
        <v>26.67</v>
      </c>
      <c r="F269" s="1211">
        <f>IF($G$207=$I$207,36.36,IF($B$207=$AF$1,23.67,IF(OR($B$207=$AF$1,$B$207=$AF$2,$B$207=$AF$3),20.89,IF($B$207=$AF$4,32.76,IF($B$207=$AF$5,24.02,"")))))</f>
        <v>24.02</v>
      </c>
      <c r="G269" s="793">
        <f t="shared" si="13"/>
        <v>43.58</v>
      </c>
    </row>
    <row r="270" spans="1:8" ht="14.4" x14ac:dyDescent="0.3">
      <c r="A270" s="773" t="s">
        <v>368</v>
      </c>
      <c r="B270" s="778" t="s">
        <v>541</v>
      </c>
      <c r="C270" s="797">
        <f>IF($G$207=$I$207,117.8,IF(OR($B$207=$AF$1,$B$207=$AF$2,$B$207=$AF$3),107.34,IF($B$207=$AF$4,100.37,IF($B$207=$AF$5,118.1,""))))</f>
        <v>118.1</v>
      </c>
      <c r="D270" s="797">
        <f>IF($G$207=$I$207,59.5,IF(OR($B$207=$AF$1,$B$207=$AF$2,$B$207=$AF$3),56.56,IF($B$207=$AF$4,52.89,IF($B$207=$AF$5,62.55,""))))</f>
        <v>62.55</v>
      </c>
      <c r="E270" s="778">
        <v>26.67</v>
      </c>
      <c r="F270" s="1211">
        <f>IF($G$207=$I$207,29.75,IF($B$207=$AF$1,23.67,IF(OR($B$207=$AF$1,$B$207=$AF$2,$B$207=$AF$3),20.89,IF($B$207=$AF$4,26.45,IF($B$207=$AF$5,24.02,"")))))</f>
        <v>24.02</v>
      </c>
      <c r="G270" s="793">
        <f t="shared" si="13"/>
        <v>31.28</v>
      </c>
    </row>
    <row r="271" spans="1:8" x14ac:dyDescent="0.25">
      <c r="A271" s="770" t="s">
        <v>403</v>
      </c>
      <c r="B271" s="621" t="s">
        <v>533</v>
      </c>
      <c r="C271" s="788">
        <f>IF(OR($B$207=$AF$1,$B$207=$AF$2,$B$207=$AF$3),116.37,IF($B$207=$AF$4,108.78,IF($B$207=$AF$5,70.32,"")))</f>
        <v>70.319999999999993</v>
      </c>
      <c r="D271" s="623">
        <f>IF(OR($B$207=$AF$1,$B$207=$AF$2,$B$207=$AF$3),43.71,IF($B$207=$AF$4,40.87,IF($B$207=$AF$5,39.37,"")))</f>
        <v>39.369999999999997</v>
      </c>
      <c r="E271" s="623">
        <v>26.67</v>
      </c>
      <c r="F271" s="788">
        <f>IF($B$207=$AF$1,23.67,IF(OR($B$207=$AF$1,$B$207=$AF$2,$B$207=$AF$3),20.89,IF($B$207=$AF$4,20.44,IF($B$207=$AF$5,24.02,""))))</f>
        <v>24.02</v>
      </c>
      <c r="G271" s="793">
        <f t="shared" si="13"/>
        <v>19.690000000000001</v>
      </c>
    </row>
    <row r="272" spans="1:8" x14ac:dyDescent="0.25">
      <c r="A272" s="770" t="s">
        <v>405</v>
      </c>
      <c r="B272" s="819" t="s">
        <v>537</v>
      </c>
      <c r="C272" s="822">
        <f>IF(OR($B$207=$AF$1,$B$207=$AF$2,$B$207=$AF$3),116.37,IF($B$207=$AF$4,108.78,IF($B$207=$AF$5,170.39,"")))</f>
        <v>170.39</v>
      </c>
      <c r="D272" s="797">
        <f>IF(OR($B$207=$AF$1,$B$207=$AF$2,$B$207=$AF$3),43.71,IF($B$207=$AF$4,40.87,IF($B$207=$AF$5,87.15,"")))</f>
        <v>87.15</v>
      </c>
      <c r="E272" s="623">
        <v>26.67</v>
      </c>
      <c r="F272" s="788">
        <f>IF($B$207=$AF$1,23.67,IF(OR($B$207=$AF$1,$B$207=$AF$2,$B$207=$AF$3),20.89,IF($B$207=$AF$4,20.44,IF($B$207=$AF$5,24.02,""))))</f>
        <v>24.02</v>
      </c>
      <c r="G272" s="793">
        <f t="shared" si="13"/>
        <v>43.58</v>
      </c>
    </row>
    <row r="273" spans="1:7" ht="14.4" x14ac:dyDescent="0.3">
      <c r="A273" s="773" t="s">
        <v>370</v>
      </c>
      <c r="B273" s="778" t="s">
        <v>535</v>
      </c>
      <c r="C273" s="797">
        <f>IF($G$207=$I$207,78.13,IF(OR($B$207=$AF$1,$B$207=$AF$2,$B$207=$AF$3),71.34,IF($B$207=$AF$4,66.71,IF($B$207=$AF$5,100.07,""))))</f>
        <v>100.07</v>
      </c>
      <c r="D273" s="797">
        <f>IF($G$207=$I$207,42.67,IF(OR($B$207=$AF$1,$B$207=$AF$2,$B$207=$AF$3),39.85,IF($B$207=$AF$4,37.26,IF($B$207=$AF$5,53.79,""))))</f>
        <v>53.79</v>
      </c>
      <c r="E273" s="778">
        <v>26.67</v>
      </c>
      <c r="F273" s="1211">
        <f>IF($G$207=$I$207,21.335,IF($B$207=$AF$1,23.67,IF(OR($B$207=$AF$1,$B$207=$AF$2,$B$207=$AF$3),20.89,IF($B$207=$AF$4,18.63,IF($B$207=$AF$5,24.02,"")))))</f>
        <v>24.02</v>
      </c>
      <c r="G273" s="793">
        <f t="shared" si="13"/>
        <v>26.9</v>
      </c>
    </row>
    <row r="274" spans="1:7" x14ac:dyDescent="0.25">
      <c r="A274" s="581" t="s">
        <v>220</v>
      </c>
      <c r="B274" s="778" t="s">
        <v>535</v>
      </c>
      <c r="C274" s="797">
        <f>IF($G$207=$I$207,81.14,IF(OR($B$207=$AF$1,$B$207=$AF$2,$B$207=$AF$3),73.92,IF($B$207=$AF$4,69.12,IF($B$207=$AF$5,100.07,""))))</f>
        <v>100.07</v>
      </c>
      <c r="D274" s="797">
        <f>IF($G$207=$I$207,45.08,IF(OR($B$207=$AF$1,$B$207=$AF$2,$B$207=$AF$3),41.78,IF($B$207=$AF$4,39.07,IF($B$207=$AF$5,53.79,""))))</f>
        <v>53.79</v>
      </c>
      <c r="E274" s="778">
        <v>26.67</v>
      </c>
      <c r="F274" s="1211">
        <f>IF($G$207=$I$207,22.54,IF($B$207=$AF$1,23.67,IF(OR($B$207=$AF$1,$B$207=$AF$2,$B$207=$AF$3),20.89,IF($B$207=$AF$4,19.54,IF($B$207=$AF$5,24.02,"")))))</f>
        <v>24.02</v>
      </c>
      <c r="G274" s="793">
        <f>D274/2</f>
        <v>26.9</v>
      </c>
    </row>
    <row r="275" spans="1:7" x14ac:dyDescent="0.25">
      <c r="A275" s="581" t="s">
        <v>221</v>
      </c>
      <c r="B275" s="778" t="s">
        <v>541</v>
      </c>
      <c r="C275" s="797">
        <f>IF($G$207=$I$207,105.18,IF(OR($B$207=$AF$1,$B$207=$AF$2,$B$207=$AF$3),95.76,IF($B$207=$AF$4,89.55,IF($B$207=$AF$5,118.1,""))))</f>
        <v>118.1</v>
      </c>
      <c r="D275" s="797">
        <f>IF($G$207=$I$207,49.28,IF(OR($B$207=$AF$1,$B$207=$AF$2,$B$207=$AF$3),45.63,IF($B$207=$AF$4,42.67,IF($B$207=$AF$5,62.55,""))))</f>
        <v>62.55</v>
      </c>
      <c r="E275" s="778">
        <v>26.67</v>
      </c>
      <c r="F275" s="1211">
        <f>IF($G$207=$I$207,24.64,IF($B$207=$AF$1,23.67,IF(OR($B$207=$AF$1,$B$207=$AF$2,$B$207=$AF$3),20.89,IF($B$207=$AF$4,21.34,IF($B$207=$AF$5,24.02,"")))))</f>
        <v>24.02</v>
      </c>
      <c r="G275" s="793">
        <f t="shared" ref="G275:G338" si="16">D275/2</f>
        <v>31.28</v>
      </c>
    </row>
    <row r="276" spans="1:7" x14ac:dyDescent="0.25">
      <c r="A276" s="770" t="s">
        <v>409</v>
      </c>
      <c r="B276" s="621" t="s">
        <v>541</v>
      </c>
      <c r="C276" s="788">
        <f>IF(OR($B$207=$AF$1,$B$207=$AF$2,$B$207=$AF$3),116.37,IF($B$207=$AF$4,108.78,IF($B$207=$AF$5,118.1,"")))</f>
        <v>118.1</v>
      </c>
      <c r="D276" s="623">
        <f>IF(OR($B$207=$AF$1,$B$207=$AF$2,$B$207=$AF$3),43.71,IF($B$207=$AF$4,40.87,IF($B$207=$AF$5,62.55,"")))</f>
        <v>62.55</v>
      </c>
      <c r="E276" s="623">
        <v>26.67</v>
      </c>
      <c r="F276" s="788">
        <f>IF($B$207=$AF$1,23.67,IF(OR($B$207=$AF$1,$B$207=$AF$2,$B$207=$AF$3),20.89,IF($B$207=$AF$4,20.44,IF($B$207=$AF$5,24.02,""))))</f>
        <v>24.02</v>
      </c>
      <c r="G276" s="793">
        <f t="shared" si="16"/>
        <v>31.28</v>
      </c>
    </row>
    <row r="277" spans="1:7" x14ac:dyDescent="0.25">
      <c r="A277" s="770" t="s">
        <v>411</v>
      </c>
      <c r="B277" s="621" t="s">
        <v>541</v>
      </c>
      <c r="C277" s="788">
        <f>IF(OR($B$207=$AF$1,$B$207=$AF$2,$B$207=$AF$3),116.37,IF($B$207=$AF$4,108.78,IF($B$207=$AF$5,118.1,"")))</f>
        <v>118.1</v>
      </c>
      <c r="D277" s="623">
        <f>IF(OR($B$207=$AF$1,$B$207=$AF$2,$B$207=$AF$3),43.71,IF($B$207=$AF$4,40.87,IF($B$207=$AF$5,62.55,"")))</f>
        <v>62.55</v>
      </c>
      <c r="E277" s="623">
        <v>26.67</v>
      </c>
      <c r="F277" s="788">
        <f>IF($B$207=$AF$1,23.67,IF(OR($B$207=$AF$1,$B$207=$AF$2,$B$207=$AF$3),20.89,IF($B$207=$AF$4,20.44,IF($B$207=$AF$5,24.02,""))))</f>
        <v>24.02</v>
      </c>
      <c r="G277" s="793">
        <f t="shared" si="16"/>
        <v>31.28</v>
      </c>
    </row>
    <row r="278" spans="1:7" x14ac:dyDescent="0.25">
      <c r="A278" s="581" t="s">
        <v>222</v>
      </c>
      <c r="B278" s="778" t="s">
        <v>541</v>
      </c>
      <c r="C278" s="797">
        <f>IF($G$207=$I$207,102.77,IF(OR($B$207=$AF$1,$B$207=$AF$2,$B$207=$AF$3),93.84,IF($B$207=$AF$4,87.75,IF($B$207=$AF$5,118.1,""))))</f>
        <v>118.1</v>
      </c>
      <c r="D278" s="797">
        <f>IF($G$207=$I$207,56.5,IF(OR($B$207=$AF$1,$B$207=$AF$2,$B$207=$AF$3),53.99,IF($B$207=$AF$4,50.49,IF($B$207=$AF$5,62.55,""))))</f>
        <v>62.55</v>
      </c>
      <c r="E278" s="778">
        <v>26.67</v>
      </c>
      <c r="F278" s="1211">
        <f>IF($G$207=$I$207,28.25,IF($B$207=$AF$1,23.67,IF(OR($B$207=$AF$1,$B$207=$AF$2,$B$207=$AF$3),20.89,IF($B$207=$AF$4,25.25,IF($B$207=$AF$5,24.02,"")))))</f>
        <v>24.02</v>
      </c>
      <c r="G278" s="793">
        <f t="shared" si="16"/>
        <v>31.28</v>
      </c>
    </row>
    <row r="279" spans="1:7" x14ac:dyDescent="0.25">
      <c r="A279" s="770" t="s">
        <v>414</v>
      </c>
      <c r="B279" s="623" t="s">
        <v>535</v>
      </c>
      <c r="C279" s="788">
        <f>IF(OR($B$207=$AF$1,$B$207=$AF$2,$B$207=$AF$3),116.37,IF($B$207=$AF$4,108.78,IF($B$207=$AF$5,100.07,"")))</f>
        <v>100.07</v>
      </c>
      <c r="D279" s="623">
        <f>IF(OR($B$207=$AF$1,$B$207=$AF$2,$B$207=$AF$3),43.71,IF($B$207=$AF$4,40.87,IF($B$207=$AF$5,53.79,"")))</f>
        <v>53.79</v>
      </c>
      <c r="E279" s="623">
        <v>26.67</v>
      </c>
      <c r="F279" s="788">
        <f>IF($B$207=$AF$1,23.67,IF(OR($B$207=$AF$1,$B$207=$AF$2,$B$207=$AF$3),20.89,IF($B$207=$AF$4,20.44,IF($B$207=$AF$5,24.02,""))))</f>
        <v>24.02</v>
      </c>
      <c r="G279" s="793">
        <f t="shared" si="16"/>
        <v>26.9</v>
      </c>
    </row>
    <row r="280" spans="1:7" x14ac:dyDescent="0.25">
      <c r="A280" s="581" t="s">
        <v>223</v>
      </c>
      <c r="B280" s="778" t="s">
        <v>533</v>
      </c>
      <c r="C280" s="797">
        <f>IF($G$207=$I$207,52.89,IF(OR($B$207=$AF$1,$B$207=$AF$2,$B$207=$AF$3),48.21,IF($B$207=$AF$4,45.08,IF($B$207=$AF$5,70.32,""))))</f>
        <v>70.319999999999993</v>
      </c>
      <c r="D280" s="797">
        <f>IF($G$207=$I$207,43.87,IF(OR($B$207=$AF$1,$B$207=$AF$2,$B$207=$AF$3),40.49,IF($B$207=$AF$4,37.86,IF($B$207=$AF$5,39.37,""))))</f>
        <v>39.369999999999997</v>
      </c>
      <c r="E280" s="778">
        <v>26.67</v>
      </c>
      <c r="F280" s="1211">
        <f>IF($G$207=$I$207,21.935,IF($B$207=$AF$1,23.67,IF(OR($B$207=$AF$1,$B$207=$AF$2,$B$207=$AF$3),20.89,IF($B$207=$AF$4,18.93,IF($B$207=$AF$5,24.02,"")))))</f>
        <v>24.02</v>
      </c>
      <c r="G280" s="793">
        <f t="shared" si="16"/>
        <v>19.690000000000001</v>
      </c>
    </row>
    <row r="281" spans="1:7" x14ac:dyDescent="0.25">
      <c r="A281" s="581" t="s">
        <v>224</v>
      </c>
      <c r="B281" s="778" t="s">
        <v>535</v>
      </c>
      <c r="C281" s="797">
        <f>IF($G$207=$I$207,81.74,IF(OR($B$207=$AF$1,$B$207=$AF$2,$B$207=$AF$3),74.56,IF($B$207=$AF$4,69.72,IF($B$207=$AF$5,100.07,""))))</f>
        <v>100.07</v>
      </c>
      <c r="D281" s="797">
        <f>IF($G$207=$I$207,49.28,IF(OR($B$207=$AF$1,$B$207=$AF$2,$B$207=$AF$3),44.99,IF($B$207=$AF$4,42.07,IF($B$207=$AF$5,53.79,""))))</f>
        <v>53.79</v>
      </c>
      <c r="E281" s="778">
        <v>26.67</v>
      </c>
      <c r="F281" s="1211">
        <f>IF($G$207=$I$207,24.64,IF($B$207=$AF$1,23.67,IF(OR($B$207=$AF$1,$B$207=$AF$2,$B$207=$AF$3),20.89,IF($B$207=$AF$4,21.04,IF($B$207=$AF$5,24.02,"")))))</f>
        <v>24.02</v>
      </c>
      <c r="G281" s="793">
        <f t="shared" si="16"/>
        <v>26.9</v>
      </c>
    </row>
    <row r="282" spans="1:7" x14ac:dyDescent="0.25">
      <c r="A282" s="581" t="s">
        <v>416</v>
      </c>
      <c r="B282" s="778" t="s">
        <v>537</v>
      </c>
      <c r="C282" s="821">
        <f>IF($G$207=$I$207,142.44,IF(OR($B$207=$AF$1,$B$207=$AF$2,$B$207=$AF$3),129.63,IF($B$207=$AF$4,121.4,IF($B$207=$AF$5,170.39,""))))</f>
        <v>170.39</v>
      </c>
      <c r="D282" s="797">
        <f>IF($G$207=$I$207,57.7,IF(OR($B$207=$AF$1,$B$207=$AF$2,$B$207=$AF$3),55.28,IF($B$207=$AF$4,51.69,IF($B$207=$AF$5,87.15,""))))</f>
        <v>87.15</v>
      </c>
      <c r="E282" s="778">
        <v>26.67</v>
      </c>
      <c r="F282" s="1211">
        <f>IF($G$207=$I$207,28.85,IF($B$207=$AF$1,23.67,IF(OR($B$207=$AF$1,$B$207=$AF$2,$B$207=$AF$3),20.89,IF($B$207=$AF$4,25.85,IF($B$207=$AF$5,24.02,"")))))</f>
        <v>24.02</v>
      </c>
      <c r="G282" s="793">
        <f t="shared" si="16"/>
        <v>43.58</v>
      </c>
    </row>
    <row r="283" spans="1:7" x14ac:dyDescent="0.25">
      <c r="A283" s="581" t="s">
        <v>226</v>
      </c>
      <c r="B283" s="778" t="s">
        <v>541</v>
      </c>
      <c r="C283" s="797">
        <f>IF($G$207=$I$207,135.23,IF(OR($B$207=$AF$1,$B$207=$AF$2,$B$207=$AF$3),123.4,IF($B$207=$AF$4,115.39,IF($B$207=$AF$5,118.1,""))))</f>
        <v>118.1</v>
      </c>
      <c r="D283" s="797">
        <f>IF($G$207=$I$207,52.89,IF(OR($B$207=$AF$1,$B$207=$AF$2,$B$207=$AF$3),49.49,IF($B$207=$AF$4,46.28,IF($B$207=$AF$5,62.55,""))))</f>
        <v>62.55</v>
      </c>
      <c r="E283" s="778">
        <v>26.67</v>
      </c>
      <c r="F283" s="1211">
        <f>IF($G$207=$I$207,26.445,IF($B$207=$AF$1,23.67,IF(OR($B$207=$AF$1,$B$207=$AF$2,$B$207=$AF$3),20.89,IF($B$207=$AF$4,23.14,IF($B$207=$AF$5,24.02,"")))))</f>
        <v>24.02</v>
      </c>
      <c r="G283" s="793">
        <f t="shared" si="16"/>
        <v>31.28</v>
      </c>
    </row>
    <row r="284" spans="1:7" x14ac:dyDescent="0.25">
      <c r="A284" s="581" t="s">
        <v>227</v>
      </c>
      <c r="B284" s="778" t="s">
        <v>541</v>
      </c>
      <c r="C284" s="797">
        <f>IF($G$207=$I$207,117.2,IF(OR($B$207=$AF$1,$B$207=$AF$2,$B$207=$AF$3),106.69,IF($B$207=$AF$4,99.77,IF($B$207=$AF$5,118.1,""))))</f>
        <v>118.1</v>
      </c>
      <c r="D284" s="797">
        <f>IF($G$207=$I$207,44.47,IF(OR($B$207=$AF$1,$B$207=$AF$2,$B$207=$AF$3),41.13,IF($B$207=$AF$4,38.46,IF($B$207=$AF$5,62.55,""))))</f>
        <v>62.55</v>
      </c>
      <c r="E284" s="778">
        <v>26.67</v>
      </c>
      <c r="F284" s="1211">
        <f>IF($G$207=$I$207,22.235,IF($B$207=$AF$1,23.67,IF(OR($B$207=$AF$1,$B$207=$AF$2,$B$207=$AF$3),20.89,IF($B$207=$AF$4,19.23,IF($B$207=$AF$5,24.02,"")))))</f>
        <v>24.02</v>
      </c>
      <c r="G284" s="793">
        <f t="shared" si="16"/>
        <v>31.28</v>
      </c>
    </row>
    <row r="285" spans="1:7" x14ac:dyDescent="0.25">
      <c r="A285" s="581" t="s">
        <v>228</v>
      </c>
      <c r="B285" s="778" t="s">
        <v>541</v>
      </c>
      <c r="C285" s="797">
        <f>IF($G$207=$I$207,120.2,IF(OR($B$207=$AF$1,$B$207=$AF$2,$B$207=$AF$3),109.26,IF($B$207=$AF$4,102.17,IF($B$207=$AF$5,118.1,""))))</f>
        <v>118.1</v>
      </c>
      <c r="D285" s="797">
        <f>IF($G$207=$I$207,48.68,IF(OR($B$207=$AF$1,$B$207=$AF$2,$B$207=$AF$3),45.63,IF($B$207=$AF$4,42.67,IF($B$207=$AF$5,62.55,""))))</f>
        <v>62.55</v>
      </c>
      <c r="E285" s="778">
        <v>26.67</v>
      </c>
      <c r="F285" s="1211">
        <f>IF($G$207=$I$207,24.34,IF($B$207=$AF$1,23.67,IF(OR($B$207=$AF$1,$B$207=$AF$2,$B$207=$AF$3),20.89,IF($B$207=$AF$4,21.34,IF($B$207=$AF$5,24.02,"")))))</f>
        <v>24.02</v>
      </c>
      <c r="G285" s="793">
        <f t="shared" si="16"/>
        <v>31.28</v>
      </c>
    </row>
    <row r="286" spans="1:7" x14ac:dyDescent="0.25">
      <c r="A286" s="581" t="s">
        <v>229</v>
      </c>
      <c r="B286" s="778" t="s">
        <v>535</v>
      </c>
      <c r="C286" s="797">
        <f>IF($G$207=$I$207,77.53,IF(OR($B$207=$AF$1,$B$207=$AF$2,$B$207=$AF$3),70.7,IF($B$207=$AF$4,66.11,IF($B$207=$AF$5,100.07,""))))</f>
        <v>100.07</v>
      </c>
      <c r="D286" s="797">
        <f>IF($G$207=$I$207,44.47,IF(OR($B$207=$AF$1,$B$207=$AF$2,$B$207=$AF$3),41.78,IF($B$207=$AF$4,39.07,IF($B$207=$AF$5,53.79,""))))</f>
        <v>53.79</v>
      </c>
      <c r="E286" s="778">
        <v>26.67</v>
      </c>
      <c r="F286" s="1211">
        <f>IF($G$207=$I$207,22.235,IF($B$207=$AF$1,23.67,IF(OR($B$207=$AF$1,$B$207=$AF$2,$B$207=$AF$3),20.89,IF($B$207=$AF$4,19.54,IF($B$207=$AF$5,24.02,"")))))</f>
        <v>24.02</v>
      </c>
      <c r="G286" s="793">
        <f t="shared" si="16"/>
        <v>26.9</v>
      </c>
    </row>
    <row r="287" spans="1:7" x14ac:dyDescent="0.25">
      <c r="A287" s="581" t="s">
        <v>230</v>
      </c>
      <c r="B287" s="778" t="s">
        <v>535</v>
      </c>
      <c r="C287" s="797">
        <f>IF($G$207=$I$207,94.36,IF(OR($B$207=$AF$1,$B$207=$AF$2,$B$207=$AF$3),86.13,IF($B$207=$AF$4,80.54,IF($B$207=$AF$5,100.07,""))))</f>
        <v>100.07</v>
      </c>
      <c r="D287" s="797">
        <f>IF($G$207=$I$207,51.69,IF(OR($B$207=$AF$1,$B$207=$AF$2,$B$207=$AF$3),47.56,IF($B$207=$AF$4,44.47,IF($B$207=$AF$5,53.79,""))))</f>
        <v>53.79</v>
      </c>
      <c r="E287" s="778">
        <v>26.67</v>
      </c>
      <c r="F287" s="1211">
        <f>IF($G$207=$I$207,25.845,IF($B$207=$AF$1,23.67,IF(OR($B$207=$AF$1,$B$207=$AF$2,$B$207=$AF$3),20.89,IF($B$207=$AF$4,22.24,IF($B$207=$AF$5,24.02,"")))))</f>
        <v>24.02</v>
      </c>
      <c r="G287" s="793">
        <f t="shared" si="16"/>
        <v>26.9</v>
      </c>
    </row>
    <row r="288" spans="1:7" x14ac:dyDescent="0.25">
      <c r="A288" s="581" t="s">
        <v>231</v>
      </c>
      <c r="B288" s="778" t="s">
        <v>537</v>
      </c>
      <c r="C288" s="821">
        <f>IF($G$207=$I$207,109.38,IF(OR($B$207=$AF$1,$B$207=$AF$2,$B$207=$AF$3),99.63,IF($B$207=$AF$4,93.16,IF($B$207=$AF$5,170.39,""))))</f>
        <v>170.39</v>
      </c>
      <c r="D288" s="797">
        <f>IF($G$207=$I$207,54.09,IF(OR($B$207=$AF$1,$B$207=$AF$2,$B$207=$AF$3),51.42,IF($B$207=$AF$4,48.08,IF($B$207=$AF$5,87.15,""))))</f>
        <v>87.15</v>
      </c>
      <c r="E288" s="778">
        <v>26.67</v>
      </c>
      <c r="F288" s="1211">
        <f>IF($G$207=$I$207,31.855,IF($G$207=$I$207,27.045,IF($B$207=$AF$1,23.67,IF(OR($B$207=$AF$1,$B$207=$AF$2,$B$207=$AF$3),20.89,IF($B$207=$AF$4,24.04,IF($B$207=$AF$5,24.02,""))))))</f>
        <v>24.02</v>
      </c>
      <c r="G288" s="793">
        <f t="shared" si="16"/>
        <v>43.58</v>
      </c>
    </row>
    <row r="289" spans="1:7" x14ac:dyDescent="0.25">
      <c r="A289" s="770" t="s">
        <v>424</v>
      </c>
      <c r="B289" s="819" t="s">
        <v>537</v>
      </c>
      <c r="C289" s="822">
        <f>IF(OR($B$207=$AF$1,$B$207=$AF$2,$B$207=$AF$3),116.37,IF($B$207=$AF$4,108.78,IF($B$207=$AF$5,170.39,"")))</f>
        <v>170.39</v>
      </c>
      <c r="D289" s="797">
        <f>IF(OR($B$207=$AF$1,$B$207=$AF$2,$B$207=$AF$3),43.71,IF($B$207=$AF$4,40.87,IF($B$207=$AF$5,87.15,"")))</f>
        <v>87.15</v>
      </c>
      <c r="E289" s="623">
        <v>26.67</v>
      </c>
      <c r="F289" s="788">
        <f>IF($B$207=$AF$1,23.67,IF(OR($B$207=$AF$1,$B$207=$AF$2,$B$207=$AF$3),20.89,IF($B$207=$AF$4,20.44,IF($B$207=$AF$5,24.02,""))))</f>
        <v>24.02</v>
      </c>
      <c r="G289" s="793">
        <f t="shared" si="16"/>
        <v>43.58</v>
      </c>
    </row>
    <row r="290" spans="1:7" x14ac:dyDescent="0.25">
      <c r="A290" s="581" t="s">
        <v>232</v>
      </c>
      <c r="B290" s="778" t="s">
        <v>537</v>
      </c>
      <c r="C290" s="821">
        <f>IF($G$207=$I$207,108.78,IF(OR($B$207=$AF$1,$B$207=$AF$2,$B$207=$AF$3),98.98,IF($B$207=$AF$4,92.56,IF($B$207=$AF$5,170.39,""))))</f>
        <v>170.39</v>
      </c>
      <c r="D290" s="797">
        <f>IF($G$207=$I$207,63.71,IF(OR($B$207=$AF$1,$B$207=$AF$2,$B$207=$AF$3),60.42,IF($B$207=$AF$4,56.5,IF($B$207=$AF$5,87.15,""))))</f>
        <v>87.15</v>
      </c>
      <c r="E290" s="778">
        <v>26.67</v>
      </c>
      <c r="F290" s="1211">
        <f>IF($B$207=$AF$1,23.67,IF(OR($B$207=$AF$1,$B$207=$AF$2,$B$207=$AF$3),20.89,IF($B$207=$AF$4,28.25,IF($B$207=$AF$5,24.02,""))))</f>
        <v>24.02</v>
      </c>
      <c r="G290" s="793">
        <f t="shared" si="16"/>
        <v>43.58</v>
      </c>
    </row>
    <row r="291" spans="1:7" x14ac:dyDescent="0.25">
      <c r="A291" s="581" t="s">
        <v>233</v>
      </c>
      <c r="B291" s="778" t="s">
        <v>537</v>
      </c>
      <c r="C291" s="821">
        <f>IF($G$207=$I$207,153.86,IF(OR($B$207=$AF$1,$B$207=$AF$2,$B$207=$AF$3),140.11,IF($B$207=$AF$4,131.02,IF($B$207=$AF$5,170.39,""))))</f>
        <v>170.39</v>
      </c>
      <c r="D291" s="797">
        <f>IF($G$207=$I$207,69.72,IF(OR($B$207=$AF$1,$B$207=$AF$2,$B$207=$AF$3),67.49,IF($B$207=$AF$4,63.11,IF($B$207=$AF$5,87.15,""))))</f>
        <v>87.15</v>
      </c>
      <c r="E291" s="778">
        <v>26.67</v>
      </c>
      <c r="F291" s="1211">
        <f>IF($G$207=$I$207,34.86,IF($B$207=$AF$1,23.67,IF(OR($B$207=$AF$1,$B$207=$AF$2,$B$207=$AF$3),20.89,IF($B$207=$AF$4,31.56,IF($B$207=$AF$5,24.02,"")))))</f>
        <v>24.02</v>
      </c>
      <c r="G291" s="793">
        <f t="shared" si="16"/>
        <v>43.58</v>
      </c>
    </row>
    <row r="292" spans="1:7" x14ac:dyDescent="0.25">
      <c r="A292" s="581" t="s">
        <v>234</v>
      </c>
      <c r="B292" s="778" t="s">
        <v>535</v>
      </c>
      <c r="C292" s="797">
        <f>IF($G$207=$I$207,90.15,IF(OR($B$207=$AF$1,$B$207=$AF$2,$B$207=$AF$3),82.27,IF($B$207=$AF$4,76.93,IF($B$207=$AF$5,100.07,""))))</f>
        <v>100.07</v>
      </c>
      <c r="D292" s="797">
        <f>IF($G$207=$I$207,51.69,IF(OR($B$207=$AF$1,$B$207=$AF$2,$B$207=$AF$3),49.49,IF($B$207=$AF$4,46.28,IF($B$207=$AF$5,53.79,""))))</f>
        <v>53.79</v>
      </c>
      <c r="E292" s="778">
        <v>26.67</v>
      </c>
      <c r="F292" s="1211">
        <f>IF($G$207=$I$207,25.845,IF($B$207=$AF$1,23.67,IF(OR($B$207=$AF$1,$B$207=$AF$2,$B$207=$AF$3),20.89,IF($B$207=$AF$4,23.14,IF($B$207=$AF$5,24.02,"")))))</f>
        <v>24.02</v>
      </c>
      <c r="G292" s="793">
        <f t="shared" si="16"/>
        <v>26.9</v>
      </c>
    </row>
    <row r="293" spans="1:7" x14ac:dyDescent="0.25">
      <c r="A293" s="581" t="s">
        <v>235</v>
      </c>
      <c r="B293" s="778" t="s">
        <v>537</v>
      </c>
      <c r="C293" s="821">
        <f>IF($G$207=$I$207,187.52,IF(OR($B$207=$AF$1,$B$207=$AF$2,$B$207=$AF$3),170.96,IF($B$207=$AF$4,159.87,IF($B$207=$AF$5,170.39,""))))</f>
        <v>170.39</v>
      </c>
      <c r="D293" s="797">
        <f>IF($G$207=$I$207,108.18,IF(OR($B$207=$AF$1,$B$207=$AF$2,$B$207=$AF$3),103.48,IF($B$207=$AF$4,96.76,IF($B$207=$AF$5,87.15,""))))</f>
        <v>87.15</v>
      </c>
      <c r="E293" s="778">
        <v>26.67</v>
      </c>
      <c r="F293" s="1211">
        <f>IF($G$207=$I$207,54.09,IF($B$207=$AF$1,23.67,IF(OR($B$207=$AF$1,$B$207=$AF$2,$B$207=$AF$3),20.89,IF($B$207=$AF$4,48.38,IF($B$207=$AF$5,24.02,"")))))</f>
        <v>24.02</v>
      </c>
      <c r="G293" s="793">
        <f t="shared" si="16"/>
        <v>43.58</v>
      </c>
    </row>
    <row r="294" spans="1:7" x14ac:dyDescent="0.25">
      <c r="A294" s="581" t="s">
        <v>236</v>
      </c>
      <c r="B294" s="778" t="s">
        <v>541</v>
      </c>
      <c r="C294" s="797">
        <f>IF($G$207=$I$207,109.38,IF(OR($B$207=$AF$1,$B$207=$AF$2,$B$207=$AF$3),99.63,IF($B$207=$AF$4,93.16,IF($B$207=$AF$5,118.1,""))))</f>
        <v>118.1</v>
      </c>
      <c r="D294" s="797">
        <f>IF($G$207=$I$207,48.68,IF(OR($B$207=$AF$1,$B$207=$AF$2,$B$207=$AF$3),45.63,IF($B$207=$AF$4,42.67,IF($B$207=$AF$5,62.55,""))))</f>
        <v>62.55</v>
      </c>
      <c r="E294" s="778">
        <v>26.67</v>
      </c>
      <c r="F294" s="1211">
        <f>IF($G$207=$I$207,24.34,IF($B$207=$AF$1,23.67,IF(OR($B$207=$AF$1,$B$207=$AF$2,$B$207=$AF$3),20.89,IF($B$207=$AF$4,21.34,IF($B$207=$AF$5,24.02,"")))))</f>
        <v>24.02</v>
      </c>
      <c r="G294" s="793">
        <f t="shared" si="16"/>
        <v>31.28</v>
      </c>
    </row>
    <row r="295" spans="1:7" x14ac:dyDescent="0.25">
      <c r="A295" s="770" t="s">
        <v>430</v>
      </c>
      <c r="B295" s="623" t="s">
        <v>541</v>
      </c>
      <c r="C295" s="788">
        <f>IF(OR($B$207=$AF$1,$B$207=$AF$2,$B$207=$AF$3),116.37,IF($B$207=$AF$4,108.78,IF($B$207=$AF$5,118.1,"")))</f>
        <v>118.1</v>
      </c>
      <c r="D295" s="623">
        <f>IF(OR($B$207=$AF$1,$B$207=$AF$2,$B$207=$AF$3),43.71,IF($B$207=$AF$4,40.87,IF($B$207=$AF$5,62.55,"")))</f>
        <v>62.55</v>
      </c>
      <c r="E295" s="623">
        <v>26.67</v>
      </c>
      <c r="F295" s="788">
        <f>IF($B$207=$AF$1,23.67,IF(OR($B$207=$AF$1,$B$207=$AF$2,$B$207=$AF$3),20.89,IF($B$207=$AF$4,20.44,IF($B$207=$AF$5,24.02,""))))</f>
        <v>24.02</v>
      </c>
      <c r="G295" s="793">
        <f t="shared" si="16"/>
        <v>31.28</v>
      </c>
    </row>
    <row r="296" spans="1:7" x14ac:dyDescent="0.25">
      <c r="A296" s="581" t="s">
        <v>237</v>
      </c>
      <c r="B296" s="778" t="s">
        <v>535</v>
      </c>
      <c r="C296" s="797">
        <f>IF($G$207=$I$207,96.76,IF(OR($B$207=$AF$1,$B$207=$AF$2,$B$207=$AF$3),88.05,IF($B$207=$AF$4,82.34,IF($B$207=$AF$5,100.07,""))))</f>
        <v>100.07</v>
      </c>
      <c r="D296" s="797">
        <f>IF($G$207=$I$207,45.08,IF(OR($B$207=$AF$1,$B$207=$AF$2,$B$207=$AF$3),42.42,IF($B$207=$AF$4,39.67,IF($B$207=$AF$5,53.79,""))))</f>
        <v>53.79</v>
      </c>
      <c r="E296" s="778">
        <v>26.67</v>
      </c>
      <c r="F296" s="1211">
        <f>IF($G$207=$I$207,22.54,IF($B$207=$AF$1,23.67,IF(OR($B$207=$AF$1,$B$207=$AF$2,$B$207=$AF$3),20.89,IF($B$207=$AF$4,19.84,IF($B$207=$AF$5,24.02,"")))))</f>
        <v>24.02</v>
      </c>
      <c r="G296" s="793">
        <f t="shared" si="16"/>
        <v>26.9</v>
      </c>
    </row>
    <row r="297" spans="1:7" x14ac:dyDescent="0.25">
      <c r="A297" s="770" t="s">
        <v>433</v>
      </c>
      <c r="B297" s="621" t="s">
        <v>541</v>
      </c>
      <c r="C297" s="788">
        <f>IF(OR($B$207=$AF$1,$B$207=$AF$2,$B$207=$AF$3),116.37,IF($B$207=$AF$4,108.78,IF($B$207=$AF$5,118.1,"")))</f>
        <v>118.1</v>
      </c>
      <c r="D297" s="623">
        <f>IF(OR($B$207=$AF$1,$B$207=$AF$2,$B$207=$AF$3),43.71,IF($B$207=$AF$4,40.87,IF($B$207=$AF$5,62.55,"")))</f>
        <v>62.55</v>
      </c>
      <c r="E297" s="623">
        <v>26.67</v>
      </c>
      <c r="F297" s="788">
        <f>IF($B$207=$AF$1,23.67,IF(OR($B$207=$AF$1,$B$207=$AF$2,$B$207=$AF$3),20.89,IF($B$207=$AF$4,20.44,IF($B$207=$AF$5,24.02,""))))</f>
        <v>24.02</v>
      </c>
      <c r="G297" s="793">
        <f t="shared" si="16"/>
        <v>31.28</v>
      </c>
    </row>
    <row r="298" spans="1:7" x14ac:dyDescent="0.25">
      <c r="A298" s="581" t="s">
        <v>238</v>
      </c>
      <c r="B298" s="778" t="s">
        <v>537</v>
      </c>
      <c r="C298" s="821">
        <f>IF($G$207=$I$207,144.24,IF(OR($B$207=$AF$1,$B$207=$AF$2,$B$207=$AF$3),131.12,IF($B$207=$AF$4,122.61,IF($B$207=$AF$5,170.39,""))))</f>
        <v>170.39</v>
      </c>
      <c r="D298" s="797">
        <f>IF($G$207=$I$207,50.49,IF(OR($B$207=$AF$1,$B$207=$AF$2,$B$207=$AF$3),47.56,IF($B$207=$AF$4,44.47,IF($B$207=$AF$5,87.15,""))))</f>
        <v>87.15</v>
      </c>
      <c r="E298" s="778">
        <v>26.67</v>
      </c>
      <c r="F298" s="1211">
        <f>IF($G$207=$I$207,25.245,IF($B$207=$AF$1,23.67,IF(OR($B$207=$AF$1,$B$207=$AF$2,$B$207=$AF$3),20.89,IF($B$207=$AF$4,22.24,IF($B$207=$AF$5,24.02,"")))))</f>
        <v>24.02</v>
      </c>
      <c r="G298" s="793">
        <f t="shared" si="16"/>
        <v>43.58</v>
      </c>
    </row>
    <row r="299" spans="1:7" x14ac:dyDescent="0.25">
      <c r="A299" s="770" t="s">
        <v>435</v>
      </c>
      <c r="B299" s="621" t="s">
        <v>533</v>
      </c>
      <c r="C299" s="788">
        <f>IF(OR($B$207=$AF$1,$B$207=$AF$2,$B$207=$AF$3),116.37,IF($B$207=$AF$4,108.78,IF($B$207=$AF$5,70.32,"")))</f>
        <v>70.319999999999993</v>
      </c>
      <c r="D299" s="623">
        <f>IF(OR($B$207=$AF$1,$B$207=$AF$2,$B$207=$AF$3),43.71,IF($B$207=$AF$4,40.87,IF($B$207=$AF$5,39.37,"")))</f>
        <v>39.369999999999997</v>
      </c>
      <c r="E299" s="623">
        <v>26.67</v>
      </c>
      <c r="F299" s="788">
        <f>IF($B$207=$AF$1,23.67,IF(OR($B$207=$AF$1,$B$207=$AF$2,$B$207=$AF$3),20.89,IF($B$207=$AF$4,20.44,IF($B$207=$AF$5,24.02,""))))</f>
        <v>24.02</v>
      </c>
      <c r="G299" s="793">
        <f t="shared" si="16"/>
        <v>19.690000000000001</v>
      </c>
    </row>
    <row r="300" spans="1:7" x14ac:dyDescent="0.25">
      <c r="A300" s="770" t="s">
        <v>436</v>
      </c>
      <c r="B300" s="621" t="s">
        <v>533</v>
      </c>
      <c r="C300" s="788">
        <f>IF(OR($B$207=$AF$1,$B$207=$AF$2,$B$207=$AF$3),116.37,IF($B$207=$AF$4,108.78,IF($B$207=$AF$5,70.32,"")))</f>
        <v>70.319999999999993</v>
      </c>
      <c r="D300" s="623">
        <f>IF(OR($B$207=$AF$1,$B$207=$AF$2,$B$207=$AF$3),43.71,IF($B$207=$AF$4,40.87,IF($B$207=$AF$5,39.37,"")))</f>
        <v>39.369999999999997</v>
      </c>
      <c r="E300" s="623">
        <v>26.67</v>
      </c>
      <c r="F300" s="788">
        <f>IF($B$207=$AF$1,23.67,IF(OR($B$207=$AF$1,$B$207=$AF$2,$B$207=$AF$3),20.89,IF($B$207=$AF$4,20.44,IF($B$207=$AF$5,24.02,""))))</f>
        <v>24.02</v>
      </c>
      <c r="G300" s="793">
        <f t="shared" si="16"/>
        <v>19.690000000000001</v>
      </c>
    </row>
    <row r="301" spans="1:7" x14ac:dyDescent="0.25">
      <c r="A301" s="770" t="s">
        <v>437</v>
      </c>
      <c r="B301" s="623" t="s">
        <v>541</v>
      </c>
      <c r="C301" s="788">
        <f>IF(OR($B$207=$AF$1,$B$207=$AF$2,$B$207=$AF$3),116.37,IF($B$207=$AF$4,108.78,IF($B$207=$AF$5,118.1,"")))</f>
        <v>118.1</v>
      </c>
      <c r="D301" s="623">
        <f>IF(OR($B$207=$AF$1,$B$207=$AF$2,$B$207=$AF$3),43.71,IF($B$207=$AF$4,40.87,IF($B$207=$AF$5,62.55,"")))</f>
        <v>62.55</v>
      </c>
      <c r="E301" s="623">
        <v>26.67</v>
      </c>
      <c r="F301" s="788">
        <f>IF($B$207=$AF$1,23.67,IF(OR($B$207=$AF$1,$B$207=$AF$2,$B$207=$AF$3),20.89,IF($B$207=$AF$4,20.44,IF($B$207=$AF$5,24.02,""))))</f>
        <v>24.02</v>
      </c>
      <c r="G301" s="793">
        <f t="shared" si="16"/>
        <v>31.28</v>
      </c>
    </row>
    <row r="302" spans="1:7" x14ac:dyDescent="0.25">
      <c r="A302" s="581" t="s">
        <v>239</v>
      </c>
      <c r="B302" s="777" t="s">
        <v>541</v>
      </c>
      <c r="C302" s="796">
        <f>IF($G$207=$I$207,135.23,IF(OR($B$207=$AF$1,$B$207=$AF$2,$B$207=$AF$3),123.4,IF($B$207=$AF$4,115.39,IF($B$207=$AF$5,118.1,""))))</f>
        <v>118.1</v>
      </c>
      <c r="D302" s="796">
        <f>IF(OR($B$207=$AF$1,$B$207=$AF$2,$B$207=$AF$3),37.28,IF($B$207=$AF$4,34.86,IF($B$207=$AF$5,62.55,"")))</f>
        <v>62.55</v>
      </c>
      <c r="E302" s="777">
        <v>26.67</v>
      </c>
      <c r="F302" s="1211">
        <f>IF($G$207=$I$207,20.435,IF($B$207=$AF$1,23.67,IF(OR($B$207=$AF$1,$B$207=$AF$2,$B$207=$AF$3),20.89,IF($B$207=$AF$4,17.43,IF($B$207=$AF$5,24.02,"")))))</f>
        <v>24.02</v>
      </c>
      <c r="G302" s="793">
        <f t="shared" si="16"/>
        <v>31.28</v>
      </c>
    </row>
    <row r="303" spans="1:7" x14ac:dyDescent="0.25">
      <c r="A303" s="770" t="s">
        <v>441</v>
      </c>
      <c r="B303" s="623" t="s">
        <v>535</v>
      </c>
      <c r="C303" s="788">
        <f>IF(OR($B$207=$AF$1,$B$207=$AF$2,$B$207=$AF$3),116.37,IF($B$207=$AF$4,108.78,IF($B$207=$AF$5,100.07,"")))</f>
        <v>100.07</v>
      </c>
      <c r="D303" s="623">
        <f>IF(OR($B$207=$AF$1,$B$207=$AF$2,$B$207=$AF$3),43.71,IF($B$207=$AF$4,40.87,IF($B$207=$AF$5,53.79,"")))</f>
        <v>53.79</v>
      </c>
      <c r="E303" s="623">
        <v>26.67</v>
      </c>
      <c r="F303" s="788">
        <f>IF($B$207=$AF$1,23.67,IF(OR($B$207=$AF$1,$B$207=$AF$2,$B$207=$AF$3),20.89,IF($B$207=$AF$4,20.44,IF($B$207=$AF$5,24.02,""))))</f>
        <v>24.02</v>
      </c>
      <c r="G303" s="793">
        <f t="shared" si="16"/>
        <v>26.9</v>
      </c>
    </row>
    <row r="304" spans="1:7" x14ac:dyDescent="0.25">
      <c r="A304" s="581" t="s">
        <v>240</v>
      </c>
      <c r="B304" s="778" t="s">
        <v>541</v>
      </c>
      <c r="C304" s="797">
        <f>IF($G$207=$I$207,119.6,IF(OR($B$207=$AF$1,$B$207=$AF$2,$B$207=$AF$3),109.26,IF($B$207=$AF$4,102.17,IF($B$207=$AF$5,118.1,""))))</f>
        <v>118.1</v>
      </c>
      <c r="D304" s="797">
        <f>IF($G$207=$I$207,62.51,IF($G$207=$I$207,40.87,IF(OR($B$207=$AF$1,$B$207=$AF$2,$B$207=$AF$3),58.49,IF($B$207=$AF$4,54.69,IF($B$207=$AF$5,62.55,"")))))</f>
        <v>62.55</v>
      </c>
      <c r="E304" s="778">
        <v>26.67</v>
      </c>
      <c r="F304" s="1211">
        <f>IF($G$207=$I$207,31.255,IF($B$207=$AF$1,23.67,IF(OR($B$207=$AF$1,$B$207=$AF$2,$B$207=$AF$3),20.89,IF($B$207=$AF$4,27.35,IF($B$207=$AF$5,24.02,"")))))</f>
        <v>24.02</v>
      </c>
      <c r="G304" s="793">
        <f t="shared" si="16"/>
        <v>31.28</v>
      </c>
    </row>
    <row r="305" spans="1:7" x14ac:dyDescent="0.25">
      <c r="A305" s="770" t="s">
        <v>444</v>
      </c>
      <c r="B305" s="623" t="s">
        <v>535</v>
      </c>
      <c r="C305" s="788">
        <f>IF(OR($B$207=$AF$1,$B$207=$AF$2,$B$207=$AF$3),116.37,IF($B$207=$AF$4,108.78,IF($B$207=$AF$5,100.07,"")))</f>
        <v>100.07</v>
      </c>
      <c r="D305" s="623">
        <f>IF(OR($B$207=$AF$1,$B$207=$AF$2,$B$207=$AF$3),43.71,IF($B$207=$AF$4,40.87,IF($B$207=$AF$5,53.79,"")))</f>
        <v>53.79</v>
      </c>
      <c r="E305" s="623">
        <v>26.67</v>
      </c>
      <c r="F305" s="788">
        <f>IF($B$207=$AF$1,23.67,IF(OR($B$207=$AF$1,$B$207=$AF$2,$B$207=$AF$3),20.89,IF($B$207=$AF$4,20.44,IF($B$207=$AF$5,24.02,""))))</f>
        <v>24.02</v>
      </c>
      <c r="G305" s="793">
        <f t="shared" si="16"/>
        <v>26.9</v>
      </c>
    </row>
    <row r="306" spans="1:7" x14ac:dyDescent="0.25">
      <c r="A306" s="770" t="s">
        <v>446</v>
      </c>
      <c r="B306" s="623" t="s">
        <v>541</v>
      </c>
      <c r="C306" s="788">
        <f>IF(OR($B$207=$AF$1,$B$207=$AF$2,$B$207=$AF$3),116.37,IF($B$207=$AF$4,108.78,IF($B$207=$AF$5,118.1,"")))</f>
        <v>118.1</v>
      </c>
      <c r="D306" s="623">
        <f>IF(OR($B$207=$AF$1,$B$207=$AF$2,$B$207=$AF$3),43.71,IF($B$207=$AF$4,40.87,IF($B$207=$AF$5,62.55,"")))</f>
        <v>62.55</v>
      </c>
      <c r="E306" s="623">
        <v>26.67</v>
      </c>
      <c r="F306" s="788">
        <f>IF($B$207=$AF$1,23.67,IF(OR($B$207=$AF$1,$B$207=$AF$2,$B$207=$AF$3),20.89,IF($B$207=$AF$4,20.44,IF($B$207=$AF$5,24.02,""))))</f>
        <v>24.02</v>
      </c>
      <c r="G306" s="793">
        <f t="shared" si="16"/>
        <v>31.28</v>
      </c>
    </row>
    <row r="307" spans="1:7" x14ac:dyDescent="0.25">
      <c r="A307" s="581" t="s">
        <v>241</v>
      </c>
      <c r="B307" s="778" t="s">
        <v>537</v>
      </c>
      <c r="C307" s="821">
        <f>IF($G$207=$I$207,159.27,IF(OR($B$207=$AF$1,$B$207=$AF$2,$B$207=$AF$3),145.26,IF($B$207=$AF$4,135.83,IF($B$207=$AF$5,170.39,""))))</f>
        <v>170.39</v>
      </c>
      <c r="D307" s="797">
        <f>IF($G$207=$I$207,63.11,IF(OR($B$207=$AF$1,$B$207=$AF$2,$B$207=$AF$3),59.77,IF($B$207=$AF$4,55.89,IF($B$207=$AF$5,87.15,""))))</f>
        <v>87.15</v>
      </c>
      <c r="E307" s="778">
        <v>26.67</v>
      </c>
      <c r="F307" s="1211">
        <f>IF($G$207=$I$207,31.555,IF($B$207=$AF$1,23.67,IF(OR($B$207=$AF$1,$B$207=$AF$2,$B$207=$AF$3),20.89,IF($B$207=$AF$4,27.95,IF($B$207=$AF$5,24.02,"")))))</f>
        <v>24.02</v>
      </c>
      <c r="G307" s="793">
        <f t="shared" si="16"/>
        <v>43.58</v>
      </c>
    </row>
    <row r="308" spans="1:7" x14ac:dyDescent="0.25">
      <c r="A308" s="770" t="s">
        <v>449</v>
      </c>
      <c r="B308" s="623" t="s">
        <v>541</v>
      </c>
      <c r="C308" s="788">
        <f>IF(OR($B$207=$AF$1,$B$207=$AF$2,$B$207=$AF$3),116.37,IF($B$207=$AF$4,108.78,IF($B$207=$AF$5,118.1,"")))</f>
        <v>118.1</v>
      </c>
      <c r="D308" s="623">
        <f>IF(OR($B$207=$AF$1,$B$207=$AF$2,$B$207=$AF$3),43.71,IF($B$207=$AF$4,40.87,IF($B$207=$AF$5,62.55,"")))</f>
        <v>62.55</v>
      </c>
      <c r="E308" s="623">
        <v>26.67</v>
      </c>
      <c r="F308" s="788">
        <f>IF($B$207=$AF$1,23.67,IF(OR($B$207=$AF$1,$B$207=$AF$2,$B$207=$AF$3),20.89,IF($B$207=$AF$4,20.44,IF($B$207=$AF$5,24.02,""))))</f>
        <v>24.02</v>
      </c>
      <c r="G308" s="793">
        <f t="shared" si="16"/>
        <v>31.28</v>
      </c>
    </row>
    <row r="309" spans="1:7" x14ac:dyDescent="0.25">
      <c r="A309" s="770" t="s">
        <v>450</v>
      </c>
      <c r="B309" s="621" t="s">
        <v>533</v>
      </c>
      <c r="C309" s="788">
        <f>IF(OR($B$207=$AF$1,$B$207=$AF$2,$B$207=$AF$3),116.37,IF($B$207=$AF$4,108.78,IF($B$207=$AF$5,70.32,"")))</f>
        <v>70.319999999999993</v>
      </c>
      <c r="D309" s="623">
        <f>IF(OR($B$207=$AF$1,$B$207=$AF$2,$B$207=$AF$3),43.71,IF($B$207=$AF$4,40.87,IF($B$207=$AF$5,39.37,"")))</f>
        <v>39.369999999999997</v>
      </c>
      <c r="E309" s="623">
        <v>26.67</v>
      </c>
      <c r="F309" s="788">
        <f>IF($B$207=$AF$1,23.67,IF(OR($B$207=$AF$1,$B$207=$AF$2,$B$207=$AF$3),20.89,IF($B$207=$AF$4,20.44,IF($B$207=$AF$5,24.02,""))))</f>
        <v>24.02</v>
      </c>
      <c r="G309" s="793">
        <f t="shared" si="16"/>
        <v>19.690000000000001</v>
      </c>
    </row>
    <row r="310" spans="1:7" x14ac:dyDescent="0.25">
      <c r="A310" s="581" t="s">
        <v>242</v>
      </c>
      <c r="B310" s="778" t="s">
        <v>541</v>
      </c>
      <c r="C310" s="797">
        <f>IF($G$207=$I$207,108.18,IF(OR($B$207=$AF$1,$B$207=$AF$2,$B$207=$AF$3),98.33,IF($B$207=$AF$4,91.95,IF($B$207=$AF$5,118.1,""))))</f>
        <v>118.1</v>
      </c>
      <c r="D310" s="797">
        <f>IF($G$207=$I$207,39.67,IF(OR($B$207=$AF$1,$B$207=$AF$2,$B$207=$AF$3),36.64,IF($B$207=$AF$4,34.26,IF($B$207=$AF$5,62.55,""))))</f>
        <v>62.55</v>
      </c>
      <c r="E310" s="778">
        <v>26.67</v>
      </c>
      <c r="F310" s="1211">
        <f>IF($G$207=$I$207,19.84,IF($B$207=$AF$1,23.67,IF(OR($B$207=$AF$1,$B$207=$AF$2,$B$207=$AF$3),20.89,IF($B$207=$AF$4,17.13,IF($B$207=$AF$5,24.02,"")))))</f>
        <v>24.02</v>
      </c>
      <c r="G310" s="793">
        <f t="shared" si="16"/>
        <v>31.28</v>
      </c>
    </row>
    <row r="311" spans="1:7" x14ac:dyDescent="0.25">
      <c r="A311" s="770" t="s">
        <v>452</v>
      </c>
      <c r="B311" s="623" t="s">
        <v>535</v>
      </c>
      <c r="C311" s="788">
        <f t="shared" ref="C311" si="17">IF(OR($B$207=$AF$1,$B$207=$AF$2,$B$207=$AF$3),116.37,IF($B$207=$AF$4,108.78,IF($B$207=$AF$5,100.07,"")))</f>
        <v>100.07</v>
      </c>
      <c r="D311" s="623">
        <f t="shared" ref="D311" si="18">IF(OR($B$207=$AF$1,$B$207=$AF$2,$B$207=$AF$3),43.71,IF($B$207=$AF$4,40.87,IF($B$207=$AF$5,53.79,"")))</f>
        <v>53.79</v>
      </c>
      <c r="E311" s="623">
        <v>26.67</v>
      </c>
      <c r="F311" s="788">
        <f>IF($B$207=$AF$1,23.67,IF(OR($B$207=$AF$1,$B$207=$AF$2,$B$207=$AF$3),20.89,IF($B$207=$AF$4,20.44,IF($B$207=$AF$5,24.02,""))))</f>
        <v>24.02</v>
      </c>
      <c r="G311" s="793">
        <f t="shared" si="16"/>
        <v>26.9</v>
      </c>
    </row>
    <row r="312" spans="1:7" x14ac:dyDescent="0.25">
      <c r="A312" s="770" t="s">
        <v>455</v>
      </c>
      <c r="B312" s="621" t="s">
        <v>533</v>
      </c>
      <c r="C312" s="788">
        <f>IF(OR($B$207=$AF$1,$B$207=$AF$2,$B$207=$AF$3),116.37,IF($B$207=$AF$4,108.78,IF($B$207=$AF$5,70.32,"")))</f>
        <v>70.319999999999993</v>
      </c>
      <c r="D312" s="623">
        <f>IF(OR($B$207=$AF$1,$B$207=$AF$2,$B$207=$AF$3),43.71,IF($B$207=$AF$4,40.87,IF($B$207=$AF$5,39.37,"")))</f>
        <v>39.369999999999997</v>
      </c>
      <c r="E312" s="623">
        <v>26.67</v>
      </c>
      <c r="F312" s="788">
        <f>IF($B$207=$AF$1,23.67,IF(OR($B$207=$AF$1,$B$207=$AF$2,$B$207=$AF$3),20.89,IF($B$207=$AF$4,20.44,IF($B$207=$AF$5,24.02,""))))</f>
        <v>24.02</v>
      </c>
      <c r="G312" s="793">
        <f t="shared" si="16"/>
        <v>19.690000000000001</v>
      </c>
    </row>
    <row r="313" spans="1:7" x14ac:dyDescent="0.25">
      <c r="A313" s="770" t="s">
        <v>457</v>
      </c>
      <c r="B313" s="623" t="s">
        <v>533</v>
      </c>
      <c r="C313" s="788">
        <f>IF(OR($B$207=$AF$1,$B$207=$AF$2,$B$207=$AF$3),116.37,IF($B$207=$AF$4,108.78,IF($B$207=$AF$5,70.32,"")))</f>
        <v>70.319999999999993</v>
      </c>
      <c r="D313" s="623">
        <f>IF(OR($B$207=$AF$1,$B$207=$AF$2,$B$207=$AF$3),43.71,IF($B$207=$AF$4,40.87,IF($B$207=$AF$5,39.37,"")))</f>
        <v>39.369999999999997</v>
      </c>
      <c r="E313" s="623">
        <v>26.67</v>
      </c>
      <c r="F313" s="788">
        <f>IF($B$207=$AF$1,23.67,IF(OR($B$207=$AF$1,$B$207=$AF$2,$B$207=$AF$3),20.89,IF($B$207=$AF$4,20.44,IF($B$207=$AF$5,24.02,""))))</f>
        <v>24.02</v>
      </c>
      <c r="G313" s="793">
        <f t="shared" si="16"/>
        <v>19.690000000000001</v>
      </c>
    </row>
    <row r="314" spans="1:7" x14ac:dyDescent="0.25">
      <c r="A314" s="581" t="s">
        <v>243</v>
      </c>
      <c r="B314" s="778" t="s">
        <v>533</v>
      </c>
      <c r="C314" s="797">
        <f>IF($G$207=$I$207,54.09,IF(OR($B$207=$AF$1,$B$207=$AF$2,$B$207=$AF$3),49.49,IF($B$207=$AF$4,46.28,IF($B$207=$AF$5,70.32,""))))</f>
        <v>70.319999999999993</v>
      </c>
      <c r="D314" s="797">
        <f>IF($G$207=$I$207,37.26,IF(OR($B$207=$AF$1,$B$207=$AF$2,$B$207=$AF$3),34.06,IF($B$207=$AF$4,31.85,IF($B$207=$AF$5,39.37,""))))</f>
        <v>39.369999999999997</v>
      </c>
      <c r="E314" s="778">
        <v>26.67</v>
      </c>
      <c r="F314" s="1211">
        <f>IF($G$207=$I$207,18.63,IF($B$207=$AF$1,23.67,IF(OR($B$207=$AF$1,$B$207=$AF$2,$B$207=$AF$3),20.89,IF($B$207=$AF$4,15.93,IF($B$207=$AF$5,24.02,"")))))</f>
        <v>24.02</v>
      </c>
      <c r="G314" s="793">
        <f t="shared" si="16"/>
        <v>19.690000000000001</v>
      </c>
    </row>
    <row r="315" spans="1:7" x14ac:dyDescent="0.25">
      <c r="A315" s="581" t="s">
        <v>244</v>
      </c>
      <c r="B315" s="778" t="s">
        <v>541</v>
      </c>
      <c r="C315" s="797">
        <f>IF($G$207=$I$207,116.6,IF(OR($B$207=$AF$1,$B$207=$AF$2,$B$207=$AF$3),106.05,IF($B$207=$AF$4,99.17,IF($B$207=$AF$5,118.1,""))))</f>
        <v>118.1</v>
      </c>
      <c r="D315" s="797">
        <f>IF($G$207=$I$207,45.68,IF(OR($B$207=$AF$1,$B$207=$AF$2,$B$207=$AF$3),42.42,IF($B$207=$AF$4,39.67,IF($B$207=$AF$5,62.55,""))))</f>
        <v>62.55</v>
      </c>
      <c r="E315" s="778">
        <v>26.67</v>
      </c>
      <c r="F315" s="1211">
        <f>IF($G$207=$I$207,22.84,IF($B$207=$AF$1,23.67,IF(OR($B$207=$AF$1,$B$207=$AF$2,$B$207=$AF$3),20.89,IF($B$207=$AF$4,21.64,IF($B$207=$AF$5,24.02,"")))))</f>
        <v>24.02</v>
      </c>
      <c r="G315" s="793">
        <f t="shared" si="16"/>
        <v>31.28</v>
      </c>
    </row>
    <row r="316" spans="1:7" x14ac:dyDescent="0.25">
      <c r="A316" s="770" t="s">
        <v>461</v>
      </c>
      <c r="B316" s="623" t="s">
        <v>535</v>
      </c>
      <c r="C316" s="788">
        <f>IF(OR($B$207=$AF$1,$B$207=$AF$2,$B$207=$AF$3),116.37,IF($B$207=$AF$4,108.78,IF($B$207=$AF$5,100.07,"")))</f>
        <v>100.07</v>
      </c>
      <c r="D316" s="623">
        <f>IF(OR($B$207=$AF$1,$B$207=$AF$2,$B$207=$AF$3),43.71,IF($B$207=$AF$4,40.87,IF($B$207=$AF$5,53.79,"")))</f>
        <v>53.79</v>
      </c>
      <c r="E316" s="623">
        <v>26.67</v>
      </c>
      <c r="F316" s="788">
        <f>IF($B$207=$AF$1,23.67,IF(OR($B$207=$AF$1,$B$207=$AF$2,$B$207=$AF$3),20.89,IF($B$207=$AF$4,20.44,IF($B$207=$AF$5,24.02,""))))</f>
        <v>24.02</v>
      </c>
      <c r="G316" s="793">
        <f t="shared" si="16"/>
        <v>26.9</v>
      </c>
    </row>
    <row r="317" spans="1:7" x14ac:dyDescent="0.25">
      <c r="A317" s="581" t="s">
        <v>245</v>
      </c>
      <c r="B317" s="778" t="s">
        <v>533</v>
      </c>
      <c r="C317" s="797">
        <f>IF($G$207=$I$207,57.7,IF(OR($B$207=$AF$1,$B$207=$AF$2,$B$207=$AF$3),52.7,IF($B$207=$AF$4,49.28,IF($B$207=$AF$5,70.32,""))))</f>
        <v>70.319999999999993</v>
      </c>
      <c r="D317" s="797">
        <f>IF($G$207=$I$207,45.08,IF(OR($B$207=$AF$1,$B$207=$AF$2,$B$207=$AF$3),41.78,IF($B$207=$AF$4,39.07,IF($B$207=$AF$5,39.37,""))))</f>
        <v>39.369999999999997</v>
      </c>
      <c r="E317" s="778">
        <v>26.67</v>
      </c>
      <c r="F317" s="1211">
        <f>IF($G$207=$I$207,22.54,IF($G$207=$I$207,22.54,IF($B$207=$AF$1,23.67,IF(OR($B$207=$AF$1,$B$207=$AF$2,$B$207=$AF$3),20.89,IF($B$207=$AF$4,19.54,IF($B$207=$AF$5,24.02,""))))))</f>
        <v>24.02</v>
      </c>
      <c r="G317" s="793">
        <f t="shared" si="16"/>
        <v>19.690000000000001</v>
      </c>
    </row>
    <row r="318" spans="1:7" x14ac:dyDescent="0.25">
      <c r="A318" s="581" t="s">
        <v>246</v>
      </c>
      <c r="B318" s="778" t="s">
        <v>535</v>
      </c>
      <c r="C318" s="797">
        <f>IF($G$207=$I$207,96.16,IF(OR($B$207=$AF$1,$B$207=$AF$2,$B$207=$AF$3),87.41,IF($B$207=$AF$4,81.74,IF($B$207=$AF$5,100.07,""))))</f>
        <v>100.07</v>
      </c>
      <c r="D318" s="797">
        <f>IF($G$207=$I$207,49.88,IF(OR($B$207=$AF$1,$B$207=$AF$2,$B$207=$AF$3),46.27,IF($B$207=$AF$4,43.27,IF($B$207=$AF$5,53.79,""))))</f>
        <v>53.79</v>
      </c>
      <c r="E318" s="778">
        <v>26.67</v>
      </c>
      <c r="F318" s="1211">
        <f>IF($G$207=$I$207,24.94,IF($B$207=$AF$1,23.67,IF(OR($B$207=$AF$1,$B$207=$AF$2,$B$207=$AF$3),20.89,IF($B$207=$AF$4,18.93,IF($B$207=$AF$5,24.02,"")))))</f>
        <v>24.02</v>
      </c>
      <c r="G318" s="793">
        <f t="shared" si="16"/>
        <v>26.9</v>
      </c>
    </row>
    <row r="319" spans="1:7" x14ac:dyDescent="0.25">
      <c r="A319" s="770" t="s">
        <v>466</v>
      </c>
      <c r="B319" s="623" t="s">
        <v>541</v>
      </c>
      <c r="C319" s="788">
        <f>IF(OR($B$207=$AF$1,$B$207=$AF$2,$B$207=$AF$3),116.37,IF($B$207=$AF$4,108.78,IF($B$207=$AF$5,118.1,"")))</f>
        <v>118.1</v>
      </c>
      <c r="D319" s="623">
        <f>IF(OR($B$207=$AF$1,$B$207=$AF$2,$B$207=$AF$3),43.71,IF($B$207=$AF$4,40.87,IF($B$207=$AF$5,62.55,"")))</f>
        <v>62.55</v>
      </c>
      <c r="E319" s="623">
        <v>26.67</v>
      </c>
      <c r="F319" s="788">
        <f>IF($B$207=$AF$1,23.67,IF(OR($B$207=$AF$1,$B$207=$AF$2,$B$207=$AF$3),20.89,IF($B$207=$AF$4,20.44,IF($B$207=$AF$5,24.02,""))))</f>
        <v>24.02</v>
      </c>
      <c r="G319" s="793">
        <f t="shared" si="16"/>
        <v>31.28</v>
      </c>
    </row>
    <row r="320" spans="1:7" x14ac:dyDescent="0.25">
      <c r="A320" s="770" t="s">
        <v>467</v>
      </c>
      <c r="B320" s="623" t="s">
        <v>533</v>
      </c>
      <c r="C320" s="788">
        <f>IF(OR($B$207=$AF$1,$B$207=$AF$2,$B$207=$AF$3),116.37,IF($B$207=$AF$4,108.78,IF($B$207=$AF$5,70.32,"")))</f>
        <v>70.319999999999993</v>
      </c>
      <c r="D320" s="623">
        <f>IF(OR($B$207=$AF$1,$B$207=$AF$2,$B$207=$AF$3),43.71,IF($B$207=$AF$4,40.87,IF($B$207=$AF$5,39.37,"")))</f>
        <v>39.369999999999997</v>
      </c>
      <c r="E320" s="623">
        <v>26.67</v>
      </c>
      <c r="F320" s="788">
        <f>IF($B$207=$AF$1,23.67,IF(OR($B$207=$AF$1,$B$207=$AF$2,$B$207=$AF$3),20.89,IF($B$207=$AF$4,20.44,IF($B$207=$AF$5,24.02,""))))</f>
        <v>24.02</v>
      </c>
      <c r="G320" s="793">
        <f t="shared" si="16"/>
        <v>19.690000000000001</v>
      </c>
    </row>
    <row r="321" spans="1:7" x14ac:dyDescent="0.25">
      <c r="A321" s="581" t="s">
        <v>468</v>
      </c>
      <c r="B321" s="778" t="s">
        <v>541</v>
      </c>
      <c r="C321" s="797">
        <f>IF(OR($B$207=$AF$1,$B$207=$AF$2,$B$207=$AF$3),116.33,IF($B$207=$AF$4,98.57,IF($B$207=$AF$5,118.1,"")))</f>
        <v>118.1</v>
      </c>
      <c r="D321" s="797">
        <f>IF(OR($B$207=$AF$1,$B$207=$AF$2,$B$207=$AF$3),43.71,IF($B$207=$AF$4,49.88,IF($B$207=$AF$5,62.55,"")))</f>
        <v>62.55</v>
      </c>
      <c r="E321" s="778">
        <v>26.67</v>
      </c>
      <c r="F321" s="1211">
        <f>IF($B$207=$AF$1,23.67,IF(OR($B$207=$AF$1,$B$207=$AF$2,$B$207=$AF$3),20.89,IF($B$207=$AF$4,24.94,IF($B$207=$AF$5,24.02,""))))</f>
        <v>24.02</v>
      </c>
      <c r="G321" s="793">
        <f t="shared" si="16"/>
        <v>31.28</v>
      </c>
    </row>
    <row r="322" spans="1:7" x14ac:dyDescent="0.25">
      <c r="A322" s="581" t="s">
        <v>247</v>
      </c>
      <c r="B322" s="778" t="s">
        <v>537</v>
      </c>
      <c r="C322" s="821">
        <f>IF($G$207=$I$207,78.73,IF(OR($B$207=$AF$1,$B$207=$AF$2,$B$207=$AF$3),71.98,IF($B$207=$AF$4,67.31,IF($B$207=$AF$5,170.39,""))))</f>
        <v>170.39</v>
      </c>
      <c r="D322" s="797">
        <f>IF($G$207=$I$207,48.08,IF(OR($B$207=$AF$1,$B$207=$AF$2,$B$207=$AF$3),45.63,IF($B$207=$AF$4,42.67,IF($B$207=$AF$5,87.15,""))))</f>
        <v>87.15</v>
      </c>
      <c r="E322" s="778">
        <v>26.67</v>
      </c>
      <c r="F322" s="1211">
        <f>IF($G$207=$I$207,24.04,IF($B$207=$AF$1,23.67,IF(OR($B$207=$AF$1,$B$207=$AF$2,$B$207=$AF$3),20.89,IF($B$207=$AF$4,21.34,IF($B$207=$AF$5,24.02,"")))))</f>
        <v>24.02</v>
      </c>
      <c r="G322" s="793">
        <f t="shared" si="16"/>
        <v>43.58</v>
      </c>
    </row>
    <row r="323" spans="1:7" x14ac:dyDescent="0.25">
      <c r="A323" s="770" t="s">
        <v>469</v>
      </c>
      <c r="B323" s="621" t="s">
        <v>533</v>
      </c>
      <c r="C323" s="788">
        <f>IF(OR($B$207=$AF$1,$B$207=$AF$2,$B$207=$AF$3),116.37,IF($B$207=$AF$4,108.78,IF($B$207=$AF$5,70.32,"")))</f>
        <v>70.319999999999993</v>
      </c>
      <c r="D323" s="623">
        <f>IF(OR($B$207=$AF$1,$B$207=$AF$2,$B$207=$AF$3),43.71,IF($B$207=$AF$4,40.87,IF($B$207=$AF$5,39.37,"")))</f>
        <v>39.369999999999997</v>
      </c>
      <c r="E323" s="623">
        <v>26.67</v>
      </c>
      <c r="F323" s="788">
        <f>IF($B$207=$AF$1,23.67,IF(OR($B$207=$AF$1,$B$207=$AF$2,$B$207=$AF$3),20.89,IF($B$207=$AF$4,20.44,IF($B$207=$AF$5,24.02,""))))</f>
        <v>24.02</v>
      </c>
      <c r="G323" s="793">
        <f t="shared" si="16"/>
        <v>19.690000000000001</v>
      </c>
    </row>
    <row r="324" spans="1:7" x14ac:dyDescent="0.25">
      <c r="A324" s="770" t="s">
        <v>470</v>
      </c>
      <c r="B324" s="621" t="s">
        <v>533</v>
      </c>
      <c r="C324" s="788">
        <f>IF(OR($B$207=$AF$1,$B$207=$AF$2,$B$207=$AF$3),116.37,IF($B$207=$AF$4,108.78,IF($B$207=$AF$5,70.32,"")))</f>
        <v>70.319999999999993</v>
      </c>
      <c r="D324" s="623">
        <f>IF(OR($B$207=$AF$1,$B$207=$AF$2,$B$207=$AF$3),43.71,IF($B$207=$AF$4,40.87,IF($B$207=$AF$5,39.37,"")))</f>
        <v>39.369999999999997</v>
      </c>
      <c r="E324" s="623">
        <v>26.67</v>
      </c>
      <c r="F324" s="788">
        <f>IF($B$207=$AF$1,23.67,IF(OR($B$207=$AF$1,$B$207=$AF$2,$B$207=$AF$3),20.89,IF($B$207=$AF$4,20.44,IF($B$207=$AF$5,24.02,""))))</f>
        <v>24.02</v>
      </c>
      <c r="G324" s="793">
        <f t="shared" si="16"/>
        <v>19.690000000000001</v>
      </c>
    </row>
    <row r="325" spans="1:7" x14ac:dyDescent="0.25">
      <c r="A325" s="770" t="s">
        <v>471</v>
      </c>
      <c r="B325" s="621" t="s">
        <v>533</v>
      </c>
      <c r="C325" s="788">
        <f>IF(OR($B$207=$AF$1,$B$207=$AF$2,$B$207=$AF$3),116.37,IF($B$207=$AF$4,108.78,IF($B$207=$AF$5,70.32,"")))</f>
        <v>70.319999999999993</v>
      </c>
      <c r="D325" s="623">
        <f>IF(OR($B$207=$AF$1,$B$207=$AF$2,$B$207=$AF$3),43.71,IF($B$207=$AF$4,40.87,IF($B$207=$AF$5,39.37,"")))</f>
        <v>39.369999999999997</v>
      </c>
      <c r="E325" s="623">
        <v>26.67</v>
      </c>
      <c r="F325" s="788">
        <f>IF($B$207=$AF$1,23.67,IF(OR($B$207=$AF$1,$B$207=$AF$2,$B$207=$AF$3),20.89,IF($B$207=$AF$4,20.44,IF($B$207=$AF$5,24.02,""))))</f>
        <v>24.02</v>
      </c>
      <c r="G325" s="793">
        <f t="shared" si="16"/>
        <v>19.690000000000001</v>
      </c>
    </row>
    <row r="326" spans="1:7" x14ac:dyDescent="0.25">
      <c r="A326" s="581" t="s">
        <v>248</v>
      </c>
      <c r="B326" s="778" t="s">
        <v>541</v>
      </c>
      <c r="C326" s="797">
        <f>IF($G$207=$I$207,110.59,IF(OR($B$207=$AF$1,$B$207=$AF$2,$B$207=$AF$3),100.91,IF($B$207=$AF$4,94.36,IF($B$207=$AF$5,118.1,""))))</f>
        <v>118.1</v>
      </c>
      <c r="D326" s="797">
        <f>IF($G$207=$I$207,61.9,IF(OR($B$207=$AF$1,$B$207=$AF$2,$B$207=$AF$3),56.56,IF($B$207=$AF$4,52.89,IF($B$207=$AF$5,62.55,""))))</f>
        <v>62.55</v>
      </c>
      <c r="E326" s="778">
        <v>26.67</v>
      </c>
      <c r="F326" s="1211">
        <f>IF($G$207=$I$207,30.95,IF($B$207=$AF$1,23.67,IF(OR($B$207=$AF$1,$B$207=$AF$2,$B$207=$AF$3),20.89,IF($B$207=$AF$4,26.45,IF($B$207=$AF$5,24.02,"")))))</f>
        <v>24.02</v>
      </c>
      <c r="G326" s="793">
        <f t="shared" si="16"/>
        <v>31.28</v>
      </c>
    </row>
    <row r="327" spans="1:7" x14ac:dyDescent="0.25">
      <c r="A327" s="770" t="s">
        <v>472</v>
      </c>
      <c r="B327" s="621" t="s">
        <v>533</v>
      </c>
      <c r="C327" s="788">
        <f>IF(OR($B$207=$AF$1,$B$207=$AF$2,$B$207=$AF$3),116.37,IF($B$207=$AF$4,108.78,IF($B$207=$AF$5,70.32,"")))</f>
        <v>70.319999999999993</v>
      </c>
      <c r="D327" s="623">
        <f>IF(OR($B$207=$AF$1,$B$207=$AF$2,$B$207=$AF$3),43.71,IF($B$207=$AF$4,40.87,IF($B$207=$AF$5,39.37,"")))</f>
        <v>39.369999999999997</v>
      </c>
      <c r="E327" s="623">
        <v>26.67</v>
      </c>
      <c r="F327" s="788">
        <f>IF($B$207=$AF$1,23.67,IF(OR($B$207=$AF$1,$B$207=$AF$2,$B$207=$AF$3),20.89,IF($B$207=$AF$4,20.44,IF($B$207=$AF$5,24.02,""))))</f>
        <v>24.02</v>
      </c>
      <c r="G327" s="793">
        <f t="shared" si="16"/>
        <v>19.690000000000001</v>
      </c>
    </row>
    <row r="328" spans="1:7" x14ac:dyDescent="0.25">
      <c r="A328" s="581" t="s">
        <v>249</v>
      </c>
      <c r="B328" s="778" t="s">
        <v>541</v>
      </c>
      <c r="C328" s="788">
        <f>IF($G$207=$I$207,138.23,IF(OR($B$207=$AF$1,$B$207=$AF$2,$B$207=$AF$3),125.98,IF($B$207=$AF$4,108.78,IF($B$207=$AF$5,118.1,""))))</f>
        <v>118.1</v>
      </c>
      <c r="D328" s="797">
        <f>IF($G$207=$I$207,51.69,IF(OR($B$207=$AF$1,$B$207=$AF$2,$B$207=$AF$3),50.13,IF($B$207=$AF$4,46.58,IF($B$207=$AF$5,62.55,""))))</f>
        <v>62.55</v>
      </c>
      <c r="E328" s="778">
        <v>26.67</v>
      </c>
      <c r="F328" s="1211">
        <f>IF($G$207=$I$207,25.845,IF($B$207=$AF$1,23.67,IF(OR($B$207=$AF$1,$B$207=$AF$2,$B$207=$AF$3),20.89,IF($B$207=$AF$4,23.29,IF($B$207=$AF$5,24.02,"")))))</f>
        <v>24.02</v>
      </c>
      <c r="G328" s="793">
        <f t="shared" si="16"/>
        <v>31.28</v>
      </c>
    </row>
    <row r="329" spans="1:7" x14ac:dyDescent="0.25">
      <c r="A329" s="581" t="s">
        <v>250</v>
      </c>
      <c r="B329" s="778" t="s">
        <v>537</v>
      </c>
      <c r="C329" s="821">
        <f>IF($G$207=$I$207,156.26,IF(OR($B$207=$AF$1,$B$207=$AF$2,$B$207=$AF$3),142.04,IF($B$207=$AF$4,132.82,IF($B$207=$AF$5,170.39,""))))</f>
        <v>170.39</v>
      </c>
      <c r="D329" s="797">
        <f>IF($G$207=$I$207,89.55,IF(OR($B$207=$AF$1,$B$207=$AF$2,$B$207=$AF$3),86.13,IF($B$207=$AF$4,80.54,IF($B$207=$AF$5,87.15,""))))</f>
        <v>87.15</v>
      </c>
      <c r="E329" s="778">
        <v>26.67</v>
      </c>
      <c r="F329" s="1211">
        <f>IF($G$207=$I$207,44.775,IF($B$207=$AF$1,23.67,IF(OR($B$207=$AF$1,$B$207=$AF$2,$B$207=$AF$3),20.89,IF($B$207=$AF$4,40.27,IF($B$207=$AF$5,24.02,"")))))</f>
        <v>24.02</v>
      </c>
      <c r="G329" s="793">
        <f t="shared" si="16"/>
        <v>43.58</v>
      </c>
    </row>
    <row r="330" spans="1:7" x14ac:dyDescent="0.25">
      <c r="A330" s="581" t="s">
        <v>251</v>
      </c>
      <c r="B330" s="778" t="s">
        <v>535</v>
      </c>
      <c r="C330" s="797">
        <f>IF($G$207=$I$207,76.93,IF(OR($B$207=$AF$1,$B$207=$AF$2,$B$207=$AF$3),70.06,IF($B$207=$AF$4,65.51,IF($B$207=$AF$5,100.07,""))))</f>
        <v>100.07</v>
      </c>
      <c r="D330" s="797">
        <f>IF($G$207=$I$207,46.28,IF(OR($B$207=$AF$1,$B$207=$AF$2,$B$207=$AF$3),43.06,IF($B$207=$AF$4,40.27,IF($B$207=$AF$5,53.79,""))))</f>
        <v>53.79</v>
      </c>
      <c r="E330" s="778">
        <v>26.67</v>
      </c>
      <c r="F330" s="1211">
        <f>IF($G$207=$I$207,23.14,IF($B$207=$AF$1,23.67,IF(OR($B$207=$AF$1,$B$207=$AF$2,$B$207=$AF$3),20.89,IF($B$207=$AF$4,20.14,IF($B$207=$AF$5,24.02,"")))))</f>
        <v>24.02</v>
      </c>
      <c r="G330" s="793">
        <f t="shared" si="16"/>
        <v>26.9</v>
      </c>
    </row>
    <row r="331" spans="1:7" x14ac:dyDescent="0.25">
      <c r="A331" s="770" t="s">
        <v>473</v>
      </c>
      <c r="B331" s="621" t="s">
        <v>535</v>
      </c>
      <c r="C331" s="788">
        <f>IF(OR($B$207=$AF$1,$B$207=$AF$2,$B$207=$AF$3),116.37,IF($B$207=$AF$4,108.78,IF($B$207=$AF$5,100.07,"")))</f>
        <v>100.07</v>
      </c>
      <c r="D331" s="623">
        <f>IF(OR($B$207=$AF$1,$B$207=$AF$2,$B$207=$AF$3),43.71,IF($B$207=$AF$4,40.87,IF($B$207=$AF$5,53.79,"")))</f>
        <v>53.79</v>
      </c>
      <c r="E331" s="623">
        <v>26.67</v>
      </c>
      <c r="F331" s="788">
        <f>IF($B$207=$AF$1,23.67,IF(OR($B$207=$AF$1,$B$207=$AF$2,$B$207=$AF$3),20.89,IF($B$207=$AF$4,20.44,IF($B$207=$AF$5,24.02,""))))</f>
        <v>24.02</v>
      </c>
      <c r="G331" s="793">
        <f t="shared" si="16"/>
        <v>26.9</v>
      </c>
    </row>
    <row r="332" spans="1:7" x14ac:dyDescent="0.25">
      <c r="A332" s="581" t="s">
        <v>252</v>
      </c>
      <c r="B332" s="778" t="s">
        <v>537</v>
      </c>
      <c r="C332" s="821">
        <f>IF($G$207=$I$207,149.05,IF(OR($B$207=$AF$1,$B$207=$AF$2,$B$207=$AF$3),135.61,IF($B$207=$AF$4,126.81,IF($B$207=$AF$5,170.39,""))))</f>
        <v>170.39</v>
      </c>
      <c r="D332" s="797">
        <f>IF($G$207=$I$207,71.52,IF(OR($B$207=$AF$1,$B$207=$AF$2,$B$207=$AF$3),68.77,IF($B$207=$AF$4,64.31,IF($B$207=$AF$5,87.15,""))))</f>
        <v>87.15</v>
      </c>
      <c r="E332" s="778">
        <v>26.67</v>
      </c>
      <c r="F332" s="1211">
        <f>IF($G$207=$I$207,35.76,IF($B$207=$AF$1,23.67,IF(OR($B$207=$AF$1,$B$207=$AF$2,$B$207=$AF$3),20.89,IF($B$207=$AF$4,32.16,IF($B$207=$AF$5,24.02,"")))))</f>
        <v>24.02</v>
      </c>
      <c r="G332" s="793">
        <f t="shared" si="16"/>
        <v>43.58</v>
      </c>
    </row>
    <row r="333" spans="1:7" x14ac:dyDescent="0.25">
      <c r="A333" s="581" t="s">
        <v>253</v>
      </c>
      <c r="B333" s="778" t="s">
        <v>533</v>
      </c>
      <c r="C333" s="797">
        <f>IF($G$207=$I$207,68.52,IF(OR($B$207=$AF$1,$B$207=$AF$2,$B$207=$AF$3),62.35,IF($B$207=$AF$4,58.3,IF($B$207=$AF$5,70.32,""))))</f>
        <v>70.319999999999993</v>
      </c>
      <c r="D333" s="797">
        <f>IF($G$207=$I$207,43.27,IF(OR($B$207=$AF$1,$B$207=$AF$2,$B$207=$AF$3),39.85,IF($B$207=$AF$4,37.26,IF($B$207=$AF$5,39.37,""))))</f>
        <v>39.369999999999997</v>
      </c>
      <c r="E333" s="778">
        <v>26.67</v>
      </c>
      <c r="F333" s="1211">
        <f>IF($G$207=$I$207,21.635,IF($B$207=$AF$1,23.67,IF(OR($B$207=$AF$1,$B$207=$AF$2,$B$207=$AF$3),20.89,IF($B$207=$AF$4,18.63,IF($B$207=$AF$5,24.02,"")))))</f>
        <v>24.02</v>
      </c>
      <c r="G333" s="793">
        <f t="shared" si="16"/>
        <v>19.690000000000001</v>
      </c>
    </row>
    <row r="334" spans="1:7" x14ac:dyDescent="0.25">
      <c r="A334" s="581" t="s">
        <v>476</v>
      </c>
      <c r="B334" s="778" t="s">
        <v>533</v>
      </c>
      <c r="C334" s="797">
        <f>IF($G$207=$I$207,75.73,IF(OR($B$207=$AF$1,$B$207=$AF$2,$B$207=$AF$3),69.41,IF($B$207=$AF$4,64.91,IF($B$207=$AF$5,70.32,""))))</f>
        <v>70.319999999999993</v>
      </c>
      <c r="D334" s="797">
        <f>IF($G$207=$I$207,42.07,IF(OR($B$207=$AF$1,$B$207=$AF$2,$B$207=$AF$3),39.2,IF($B$207=$AF$4,36.66,IF($B$207=$AF$5,39.37,""))))</f>
        <v>39.369999999999997</v>
      </c>
      <c r="E334" s="778">
        <v>26.67</v>
      </c>
      <c r="F334" s="1211">
        <f>IF($G$207=$I$207,21.035,IF($B$207=$AF$1,23.67,IF(OR($B$207=$AF$1,$B$207=$AF$2,$B$207=$AF$3),20.89,IF($B$207=$AF$4,18.33,IF($B$207=$AF$5,24.02,"")))))</f>
        <v>24.02</v>
      </c>
      <c r="G334" s="793">
        <f t="shared" si="16"/>
        <v>19.690000000000001</v>
      </c>
    </row>
    <row r="335" spans="1:7" x14ac:dyDescent="0.25">
      <c r="A335" s="770" t="s">
        <v>477</v>
      </c>
      <c r="B335" s="623" t="s">
        <v>533</v>
      </c>
      <c r="C335" s="788">
        <f>IF(OR($B$207=$AF$1,$B$207=$AF$2,$B$207=$AF$3),116.37,IF($B$207=$AF$4,108.78,IF($B$207=$AF$5,70.32,"")))</f>
        <v>70.319999999999993</v>
      </c>
      <c r="D335" s="623">
        <f>IF(OR($B$207=$AF$1,$B$207=$AF$2,$B$207=$AF$3),43.71,IF($B$207=$AF$4,40.87,IF($B$207=$AF$5,39.37,"")))</f>
        <v>39.369999999999997</v>
      </c>
      <c r="E335" s="623">
        <v>26.67</v>
      </c>
      <c r="F335" s="788">
        <f>IF($B$207=$AF$1,23.67,IF(OR($B$207=$AF$1,$B$207=$AF$2,$B$207=$AF$3),20.89,IF($B$207=$AF$4,20.44,IF($B$207=$AF$5,24.02,""))))</f>
        <v>24.02</v>
      </c>
      <c r="G335" s="793">
        <f t="shared" si="16"/>
        <v>19.690000000000001</v>
      </c>
    </row>
    <row r="336" spans="1:7" x14ac:dyDescent="0.25">
      <c r="A336" s="581" t="s">
        <v>255</v>
      </c>
      <c r="B336" s="621" t="s">
        <v>533</v>
      </c>
      <c r="C336" s="797">
        <f>IF(OR($B$207=$AF$1,$B$207=$AF$2,$B$207=$AF$3),48.85,IF($B$207=$AF$4,45.68,IF($B$207=$AF$5,70.32,"")))</f>
        <v>70.319999999999993</v>
      </c>
      <c r="D336" s="622">
        <f>IF($G$207=$I$207,38.46,IF(OR($B$207=$AF$1,$B$207=$AF$2,$B$207=$AF$3),35.35,IF($B$207=$AF$4,33.06,IF($B$207=$AF$5,39.37,""))))</f>
        <v>39.369999999999997</v>
      </c>
      <c r="E336" s="623">
        <v>26.67</v>
      </c>
      <c r="F336" s="1212">
        <f>IF($G$207=$I$207,19.23,IF($B$207=$AF$1,23.67,IF(OR($B$207=$AF$1,$B$207=$AF$2,$B$207=$AF$3),20.89,IF($B$207=$AF$4,16.53,IF($B$207=$AF$5,24.02,"")))))</f>
        <v>24.02</v>
      </c>
      <c r="G336" s="793">
        <f t="shared" si="16"/>
        <v>19.690000000000001</v>
      </c>
    </row>
    <row r="337" spans="1:7" x14ac:dyDescent="0.25">
      <c r="A337" s="581" t="s">
        <v>478</v>
      </c>
      <c r="B337" s="778" t="s">
        <v>535</v>
      </c>
      <c r="C337" s="797">
        <f>IF($G$207=$I$207,93.76,IF(OR($B$207=$AF$1,$B$207=$AF$2,$B$207=$AF$3),85.48,IF($B$207=$AF$4,79.93,IF($B$207=$AF$5,100.07,""))))</f>
        <v>100.07</v>
      </c>
      <c r="D337" s="797">
        <f>IF($G$207=$I$207,50.49,IF(OR($B$207=$AF$1,$B$207=$AF$2,$B$207=$AF$3),46.27,IF($B$207=$AF$4,43.27,IF($B$207=$AF$5,53.79,""))))</f>
        <v>53.79</v>
      </c>
      <c r="E337" s="778">
        <v>26.67</v>
      </c>
      <c r="F337" s="1211">
        <f>IF($G$207=$I$207,25.245,IF($B$207=$AF$1,23.67,IF(OR($B$207=$AF$1,$B$207=$AF$2,$B$207=$AF$3),20.89,IF($B$207=$AF$4,21.64,IF($B$207=$AF$5,24.02,"")))))</f>
        <v>24.02</v>
      </c>
      <c r="G337" s="793">
        <f t="shared" si="16"/>
        <v>26.9</v>
      </c>
    </row>
    <row r="338" spans="1:7" x14ac:dyDescent="0.25">
      <c r="A338" s="581" t="s">
        <v>257</v>
      </c>
      <c r="B338" s="778" t="s">
        <v>541</v>
      </c>
      <c r="C338" s="797">
        <f>IF($G$207=$I$207,117.2,IF(OR($B$207=$AF$1,$B$207=$AF$2,$B$207=$AF$3),106.69,IF($B$207=$AF$4,99.77,IF($B$207=$AF$5,118.1,""))))</f>
        <v>118.1</v>
      </c>
      <c r="D338" s="797">
        <f>IF($G$207=$I$207,48.68,IF(OR($B$207=$AF$1,$B$207=$AF$2,$B$207=$AF$3),45.63,IF($B$207=$AF$4,42.67,IF($B$207=$AF$5,62.55,""))))</f>
        <v>62.55</v>
      </c>
      <c r="E338" s="778">
        <v>26.67</v>
      </c>
      <c r="F338" s="1211">
        <f>IF($B$207=$AF$1,23.67,IF(OR($B$207=$AF$1,$B$207=$AF$2,$B$207=$AF$3),20.89,IF($B$207=$AF$4,21.34,IF($B$207=$AF$5,24.02,""))))</f>
        <v>24.02</v>
      </c>
      <c r="G338" s="793">
        <f t="shared" si="16"/>
        <v>31.28</v>
      </c>
    </row>
    <row r="339" spans="1:7" x14ac:dyDescent="0.25">
      <c r="A339" s="581" t="s">
        <v>258</v>
      </c>
      <c r="B339" s="778" t="s">
        <v>541</v>
      </c>
      <c r="C339" s="797">
        <f>IF($G$207=$I$207,114.19,IF(OR($B$207=$AF$1,$B$207=$AF$2,$B$207=$AF$3),104.12,IF($B$207=$AF$4,97.36,IF($B$207=$AF$5,118.1,""))))</f>
        <v>118.1</v>
      </c>
      <c r="D339" s="797">
        <f>IF($G$207=$I$207,51.09,IF(OR($B$207=$AF$1,$B$207=$AF$2,$B$207=$AF$3),46.91,IF($B$207=$AF$4,43.87,IF($B$207=$AF$5,62.55,""))))</f>
        <v>62.55</v>
      </c>
      <c r="E339" s="778">
        <v>26.67</v>
      </c>
      <c r="F339" s="1211">
        <f>IF($G$207=$I$207,25.545,IF($G$207=$I$207,24.34,IF($B$207=$AF$1,23.67,IF(OR($B$207=$AF$1,$B$207=$AF$2,$B$207=$AF$3),20.89,IF($B$207=$AF$4,21.94,IF($B$207=$AF$5,24.02,""))))))</f>
        <v>24.02</v>
      </c>
      <c r="G339" s="793">
        <f t="shared" ref="G339:G387" si="19">D339/2</f>
        <v>31.28</v>
      </c>
    </row>
    <row r="340" spans="1:7" x14ac:dyDescent="0.25">
      <c r="A340" s="770" t="s">
        <v>479</v>
      </c>
      <c r="B340" s="621" t="s">
        <v>533</v>
      </c>
      <c r="C340" s="788">
        <f>IF(OR($B$207=$AF$1,$B$207=$AF$2,$B$207=$AF$3),116.37,IF($B$207=$AF$4,108.78,IF($B$207=$AF$5,70.32,"")))</f>
        <v>70.319999999999993</v>
      </c>
      <c r="D340" s="623">
        <f>IF(OR($B$207=$AF$1,$B$207=$AF$2,$B$207=$AF$3),43.71,IF($B$207=$AF$4,40.87,IF($B$207=$AF$5,39.37,"")))</f>
        <v>39.369999999999997</v>
      </c>
      <c r="E340" s="623">
        <v>26.67</v>
      </c>
      <c r="F340" s="788">
        <f>IF($B$207=$AF$1,23.67,IF(OR($B$207=$AF$1,$B$207=$AF$2,$B$207=$AF$3),20.89,IF($B$207=$AF$4,20.44,IF($B$207=$AF$5,24.02,""))))</f>
        <v>24.02</v>
      </c>
      <c r="G340" s="793">
        <f t="shared" si="19"/>
        <v>19.690000000000001</v>
      </c>
    </row>
    <row r="341" spans="1:7" x14ac:dyDescent="0.25">
      <c r="A341" s="770" t="s">
        <v>480</v>
      </c>
      <c r="B341" s="621" t="s">
        <v>533</v>
      </c>
      <c r="C341" s="788">
        <f>IF(OR($B$207=$AF$1,$B$207=$AF$2,$B$207=$AF$3),116.37,IF($B$207=$AF$4,108.78,IF($B$207=$AF$5,70.32,"")))</f>
        <v>70.319999999999993</v>
      </c>
      <c r="D341" s="623">
        <f>IF(OR($B$207=$AF$1,$B$207=$AF$2,$B$207=$AF$3),43.71,IF($B$207=$AF$4,40.87,IF($B$207=$AF$5,39.37,"")))</f>
        <v>39.369999999999997</v>
      </c>
      <c r="E341" s="623">
        <v>26.67</v>
      </c>
      <c r="F341" s="788">
        <f>IF($B$207=$AF$1,23.67,IF(OR($B$207=$AF$1,$B$207=$AF$2,$B$207=$AF$3),20.89,IF($B$207=$AF$4,20.44,IF($B$207=$AF$5,24.02,""))))</f>
        <v>24.02</v>
      </c>
      <c r="G341" s="793">
        <f t="shared" si="19"/>
        <v>19.690000000000001</v>
      </c>
    </row>
    <row r="342" spans="1:7" x14ac:dyDescent="0.25">
      <c r="A342" s="581" t="s">
        <v>259</v>
      </c>
      <c r="B342" s="778" t="s">
        <v>537</v>
      </c>
      <c r="C342" s="821">
        <f>IF($G$207=$I$207,183.91,IF(OR($B$207=$AF$1,$B$207=$AF$2,$B$207=$AF$3),167.75,IF($B$207=$AF$4,156.86,IF($B$207=$AF$5,170.39,""))))</f>
        <v>170.39</v>
      </c>
      <c r="D342" s="797">
        <f>IF($G$207=$I$207,91.35,IF(OR($B$207=$AF$1,$B$207=$AF$2,$B$207=$AF$3),88.7,IF($B$207=$AF$4,82.94,IF($B$207=$AF$5,87.15,""))))</f>
        <v>87.15</v>
      </c>
      <c r="E342" s="778">
        <v>26.67</v>
      </c>
      <c r="F342" s="1211">
        <f>IF($G$207=$I$207,25.545,IF($B$207=$AF$1,23.67,IF(OR($B$207=$AF$1,$B$207=$AF$2,$B$207=$AF$3),20.89,IF($B$207=$AF$4,41.47,IF($B$207=$AF$5,24.02,"")))))</f>
        <v>24.02</v>
      </c>
      <c r="G342" s="793">
        <f t="shared" si="19"/>
        <v>43.58</v>
      </c>
    </row>
    <row r="343" spans="1:7" x14ac:dyDescent="0.25">
      <c r="A343" s="770" t="s">
        <v>481</v>
      </c>
      <c r="B343" s="621" t="s">
        <v>533</v>
      </c>
      <c r="C343" s="788">
        <f>IF(OR($B$207=$AF$1,$B$207=$AF$2,$B$207=$AF$3),116.37,IF($B$207=$AF$4,108.78,IF($B$207=$AF$5,70.32,"")))</f>
        <v>70.319999999999993</v>
      </c>
      <c r="D343" s="623">
        <f>IF(OR($B$207=$AF$1,$B$207=$AF$2,$B$207=$AF$3),43.71,IF($B$207=$AF$4,40.87,IF($B$207=$AF$5,39.37,"")))</f>
        <v>39.369999999999997</v>
      </c>
      <c r="E343" s="623">
        <v>26.67</v>
      </c>
      <c r="F343" s="788">
        <f>IF($B$207=$AF$1,23.67,IF(OR($B$207=$AF$1,$B$207=$AF$2,$B$207=$AF$3),20.89,IF($B$207=$AF$4,20.44,IF($B$207=$AF$5,24.02,""))))</f>
        <v>24.02</v>
      </c>
      <c r="G343" s="793">
        <f t="shared" si="19"/>
        <v>19.690000000000001</v>
      </c>
    </row>
    <row r="344" spans="1:7" x14ac:dyDescent="0.25">
      <c r="A344" s="581" t="s">
        <v>260</v>
      </c>
      <c r="B344" s="778" t="s">
        <v>541</v>
      </c>
      <c r="C344" s="797">
        <f>IF($G$207=$I$207,119,IF(OR($B$207=$AF$1,$B$207=$AF$2,$B$207=$AF$3),108.62,IF($B$207=$AF$4,101.57,IF($B$207=$AF$5,118.1,""))))</f>
        <v>118.1</v>
      </c>
      <c r="D344" s="797">
        <f>IF($G$207=$I$207,49.88,IF(OR($B$207=$AF$1,$B$207=$AF$2,$B$207=$AF$3),46.27,IF($B$207=$AF$4,43.27,IF($B$207=$AF$5,62.55,""))))</f>
        <v>62.55</v>
      </c>
      <c r="E344" s="778">
        <v>26.67</v>
      </c>
      <c r="F344" s="1211">
        <f>IF($G$207=$I$207,24.94,IF($B$207=$AF$1,23.67,IF(OR($B$207=$AF$1,$B$207=$AF$2,$B$207=$AF$3),20.89,IF($B$207=$AF$4,21.64,IF($B$207=$AF$5,24.02,"")))))</f>
        <v>24.02</v>
      </c>
      <c r="G344" s="793">
        <f t="shared" si="19"/>
        <v>31.28</v>
      </c>
    </row>
    <row r="345" spans="1:7" x14ac:dyDescent="0.25">
      <c r="A345" s="488" t="s">
        <v>556</v>
      </c>
      <c r="B345" s="488" t="s">
        <v>541</v>
      </c>
      <c r="C345" s="800">
        <f>IF(OR($B$207=$AF$1,$B$207=$AF$2,$B$207=$AF$3),108.62,IF($B$207=$AF$4,101.57,IF($B$207=$AF$5,118.1,"")))</f>
        <v>118.1</v>
      </c>
      <c r="D345" s="800">
        <f>IF($G$207=$I$207,60.7,IF(OR($B$207=$AF$1,$B$207=$AF$2,$B$207=$AF$3),57.84,IF($B$207=$AF$4,54.09,IF($B$207=$AF$5,62.55,""))))</f>
        <v>62.55</v>
      </c>
      <c r="E345" s="488">
        <v>26.67</v>
      </c>
      <c r="F345" s="1215">
        <f>IF($G$207=$I$207,30.35,IF($B$207=$AF$1,23.67,IF(OR($B$207=$AF$1,$B$207=$AF$2,$B$207=$AF$3),20.89,IF($B$207=$AF$4,27.05,IF($B$207=$AF$5,24.02,"")))))</f>
        <v>24.02</v>
      </c>
      <c r="G345" s="793">
        <f t="shared" si="19"/>
        <v>31.28</v>
      </c>
    </row>
    <row r="346" spans="1:7" x14ac:dyDescent="0.25">
      <c r="A346" s="581" t="s">
        <v>261</v>
      </c>
      <c r="B346" s="778" t="s">
        <v>533</v>
      </c>
      <c r="C346" s="797">
        <f>IF($G$207=$I$207,75.13,IF(OR($B$207=$AF$1,$B$207=$AF$2,$B$207=$AF$3),68.77,IF($B$207=$AF$4,64.31,IF($B$207=$AF$5,70.32,""))))</f>
        <v>70.319999999999993</v>
      </c>
      <c r="D346" s="797">
        <f>IF($G$207=$I$207,50.49,IF(OR($B$207=$AF$1,$B$207=$AF$2,$B$207=$AF$3),39.2,IF($B$207=$AF$4,36.66,IF($B$207=$AF$5,39.37,""))))</f>
        <v>39.369999999999997</v>
      </c>
      <c r="E346" s="778">
        <v>26.67</v>
      </c>
      <c r="F346" s="1211">
        <f>IF($G$207=$I$207,25.245,IF($B$207=$AF$1,23.67,IF(OR($B$207=$AF$1,$B$207=$AF$2,$B$207=$AF$3),20.89,IF($B$207=$AF$4,18.93,IF($B$207=$AF$5,24.02,"")))))</f>
        <v>24.02</v>
      </c>
      <c r="G346" s="793">
        <f t="shared" si="19"/>
        <v>19.690000000000001</v>
      </c>
    </row>
    <row r="347" spans="1:7" x14ac:dyDescent="0.25">
      <c r="A347" s="770" t="s">
        <v>485</v>
      </c>
      <c r="B347" s="623" t="s">
        <v>535</v>
      </c>
      <c r="C347" s="788">
        <f>IF(OR($B$207=$AF$1,$B$207=$AF$2,$B$207=$AF$3),116.37,IF($B$207=$AF$4,108.78,IF($B$207=$AF$5,100.07,"")))</f>
        <v>100.07</v>
      </c>
      <c r="D347" s="623">
        <f>IF(OR($B$207=$AF$1,$B$207=$AF$2,$B$207=$AF$3),43.71,IF($B$207=$AF$4,40.87,IF($B$207=$AF$5,53.79,"")))</f>
        <v>53.79</v>
      </c>
      <c r="E347" s="623">
        <v>26.67</v>
      </c>
      <c r="F347" s="788">
        <f>IF($B$207=$AF$1,23.67,IF(OR($B$207=$AF$1,$B$207=$AF$2,$B$207=$AF$3),20.89,IF($B$207=$AF$4,20.44,IF($B$207=$AF$5,24.02,""))))</f>
        <v>24.02</v>
      </c>
      <c r="G347" s="793">
        <f t="shared" si="19"/>
        <v>26.9</v>
      </c>
    </row>
    <row r="348" spans="1:7" x14ac:dyDescent="0.25">
      <c r="A348" s="581" t="s">
        <v>262</v>
      </c>
      <c r="B348" s="778" t="s">
        <v>541</v>
      </c>
      <c r="C348" s="797">
        <f>IF($G$207=$I$207,149.05,IF(OR($B$207=$AF$1,$B$207=$AF$2,$B$207=$AF$3),135.61,IF($B$207=$AF$4,126.81,IF($B$207=$AF$5,118.1,""))))</f>
        <v>118.1</v>
      </c>
      <c r="D348" s="797">
        <f>IF($G$207=$I$207,44.47,IF(OR($B$207=$AF$1,$B$207=$AF$2,$B$207=$AF$3),41.13,IF($B$207=$AF$4,38.46,IF($B$207=$AF$5,62.55,""))))</f>
        <v>62.55</v>
      </c>
      <c r="E348" s="778">
        <v>26.67</v>
      </c>
      <c r="F348" s="1211">
        <f>IF($G$207=$I$207,22.235,IF($B$207=$AF$1,23.67,IF(OR($B$207=$AF$1,$B$207=$AF$2,$B$207=$AF$3),20.89,IF($B$207=$AF$4,19.23,IF($B$207=$AF$5,24.02,"")))))</f>
        <v>24.02</v>
      </c>
      <c r="G348" s="793">
        <f t="shared" si="19"/>
        <v>31.28</v>
      </c>
    </row>
    <row r="349" spans="1:7" x14ac:dyDescent="0.25">
      <c r="A349" s="581" t="s">
        <v>263</v>
      </c>
      <c r="B349" s="778" t="s">
        <v>537</v>
      </c>
      <c r="C349" s="821">
        <f>IF(OR($B$207=$AF$1,$B$207=$AF$2,$B$207=$AF$3),243.59,IF($B$207=$AF$4,227.78,IF($B$207=$AF$5,170.39,"")))</f>
        <v>170.39</v>
      </c>
      <c r="D349" s="797">
        <f>IF($G$207=$I$207,83.54,IF(OR($B$207=$AF$1,$B$207=$AF$2,$B$207=$AF$3),78.41,IF($B$207=$AF$4,73.32,IF($B$207=$AF$5,87.15,""))))</f>
        <v>87.15</v>
      </c>
      <c r="E349" s="778">
        <v>26.67</v>
      </c>
      <c r="F349" s="1211">
        <f>IF($G$207=$I$207,41.77,IF($B$207=$AF$1,23.67,IF(OR($B$207=$AF$1,$B$207=$AF$2,$B$207=$AF$3),20.89,IF($B$207=$AF$4,36.66,IF($B$207=$AF$5,24.02,"")))))</f>
        <v>24.02</v>
      </c>
      <c r="G349" s="793">
        <f t="shared" si="19"/>
        <v>43.58</v>
      </c>
    </row>
    <row r="350" spans="1:7" x14ac:dyDescent="0.25">
      <c r="A350" s="770" t="s">
        <v>486</v>
      </c>
      <c r="B350" s="621" t="s">
        <v>533</v>
      </c>
      <c r="C350" s="788">
        <f>IF(OR($B$207=$AF$1,$B$207=$AF$2,$B$207=$AF$3),116.37,IF($B$207=$AF$4,108.78,IF($B$207=$AF$5,70.32,"")))</f>
        <v>70.319999999999993</v>
      </c>
      <c r="D350" s="623">
        <f>IF(OR($B$207=$AF$1,$B$207=$AF$2,$B$207=$AF$3),43.71,IF($B$207=$AF$4,40.87,IF($B$207=$AF$5,39.37,"")))</f>
        <v>39.369999999999997</v>
      </c>
      <c r="E350" s="623">
        <v>26.67</v>
      </c>
      <c r="F350" s="788">
        <f>IF($B$207=$AF$1,23.67,IF(OR($B$207=$AF$1,$B$207=$AF$2,$B$207=$AF$3),20.89,IF($B$207=$AF$4,20.44,IF($B$207=$AF$5,24.02,""))))</f>
        <v>24.02</v>
      </c>
      <c r="G350" s="793">
        <f t="shared" si="19"/>
        <v>19.690000000000001</v>
      </c>
    </row>
    <row r="351" spans="1:7" x14ac:dyDescent="0.25">
      <c r="A351" s="581" t="s">
        <v>264</v>
      </c>
      <c r="B351" s="778" t="s">
        <v>535</v>
      </c>
      <c r="C351" s="797">
        <f>IF($G$207=$I$207,79.33,IF(OR($B$207=$AF$1,$B$207=$AF$2,$B$207=$AF$3),72.62,IF($B$207=$AF$4,67.91,IF($B$207=$AF$5,100.07,""))))</f>
        <v>100.07</v>
      </c>
      <c r="D351" s="797">
        <f>IF($G$207=$I$207,51.09,IF(OR($B$207=$AF$1,$B$207=$AF$2,$B$207=$AF$3),48.21,IF($B$207=$AF$4,45.08,IF($B$207=$AF$5,53.79,""))))</f>
        <v>53.79</v>
      </c>
      <c r="E351" s="778">
        <v>26.67</v>
      </c>
      <c r="F351" s="1211">
        <f>IF($G$207=$I$207,25.545,IF($B$207=$AF$1,23.67,IF(OR($B$207=$AF$1,$B$207=$AF$2,$B$207=$AF$3),20.89,IF($B$207=$AF$4,22.54,IF($B$207=$AF$5,24.02,"")))))</f>
        <v>24.02</v>
      </c>
      <c r="G351" s="793">
        <f t="shared" si="19"/>
        <v>26.9</v>
      </c>
    </row>
    <row r="352" spans="1:7" x14ac:dyDescent="0.25">
      <c r="A352" s="581" t="s">
        <v>487</v>
      </c>
      <c r="B352" s="778" t="s">
        <v>541</v>
      </c>
      <c r="C352" s="797">
        <f>IF($G$207=$I$207,115.39,IF(OR($B$207=$AF$1,$B$207=$AF$2,$B$207=$AF$3),116.33,IF($B$207=$AF$4,98.57,IF($B$207=$AF$5,118.1,""))))</f>
        <v>118.1</v>
      </c>
      <c r="D352" s="797">
        <f>IF($G$207=$I$207,57.7,IF(OR($B$207=$AF$1,$B$207=$AF$2,$B$207=$AF$3),43.71,IF($B$207=$AF$4,49.88,IF($B$207=$AF$5,62.55,""))))</f>
        <v>62.55</v>
      </c>
      <c r="E352" s="778">
        <v>26.67</v>
      </c>
      <c r="F352" s="1211">
        <f>IF($B$207=$AF$1,23.67,IF(OR($B$207=$AF$1,$B$207=$AF$2,$B$207=$AF$3),20.89,IF($B$207=$AF$4,24.94,IF($B$207=$AF$5,24.02,""))))</f>
        <v>24.02</v>
      </c>
      <c r="G352" s="793">
        <f t="shared" si="19"/>
        <v>31.28</v>
      </c>
    </row>
    <row r="353" spans="1:7" x14ac:dyDescent="0.25">
      <c r="A353" s="770" t="s">
        <v>488</v>
      </c>
      <c r="B353" s="621" t="s">
        <v>533</v>
      </c>
      <c r="C353" s="788">
        <f>IF(OR($B$207=$AF$1,$B$207=$AF$2,$B$207=$AF$3),116.37,IF($B$207=$AF$4,108.78,IF($B$207=$AF$5,70.32,"")))</f>
        <v>70.319999999999993</v>
      </c>
      <c r="D353" s="623">
        <f>IF(OR($B$207=$AF$1,$B$207=$AF$2,$B$207=$AF$3),43.71,IF($B$207=$AF$4,40.87,IF($B$207=$AF$5,39.37,"")))</f>
        <v>39.369999999999997</v>
      </c>
      <c r="E353" s="623">
        <v>26.67</v>
      </c>
      <c r="F353" s="788">
        <f>IF($B$207=$AF$1,23.67,IF(OR($B$207=$AF$1,$B$207=$AF$2,$B$207=$AF$3),20.89,IF($B$207=$AF$4,20.44,IF($B$207=$AF$5,24.02,""))))</f>
        <v>24.02</v>
      </c>
      <c r="G353" s="793">
        <f t="shared" si="19"/>
        <v>19.690000000000001</v>
      </c>
    </row>
    <row r="354" spans="1:7" x14ac:dyDescent="0.25">
      <c r="A354" s="581" t="s">
        <v>265</v>
      </c>
      <c r="B354" s="778" t="s">
        <v>541</v>
      </c>
      <c r="C354" s="797">
        <f>IF($G$207=$I$207,99.77,IF(OR($B$207=$AF$1,$B$207=$AF$2,$B$207=$AF$3),91.26,IF($B$207=$AF$4,85.34,IF($B$207=$AF$5,118.1,""))))</f>
        <v>118.1</v>
      </c>
      <c r="D354" s="797">
        <f>IF($G$207=$I$207,54.09,IF(OR($B$207=$AF$1,$B$207=$AF$2,$B$207=$AF$3),51.42,IF($B$207=$AF$4,48.08,IF($B$207=$AF$5,62.55,""))))</f>
        <v>62.55</v>
      </c>
      <c r="E354" s="778">
        <v>26.67</v>
      </c>
      <c r="F354" s="1211">
        <f>IF($G$207=$I$207,27.045,IF($B$207=$AF$1,23.67,IF(OR($B$207=$AF$1,$B$207=$AF$2,$B$207=$AF$3),20.89,IF($B$207=$AF$4,24.04,IF($B$207=$AF$5,24.02,"")))))</f>
        <v>24.02</v>
      </c>
      <c r="G354" s="793">
        <f t="shared" si="19"/>
        <v>31.28</v>
      </c>
    </row>
    <row r="355" spans="1:7" x14ac:dyDescent="0.25">
      <c r="A355" s="581" t="s">
        <v>266</v>
      </c>
      <c r="B355" s="778" t="s">
        <v>535</v>
      </c>
      <c r="C355" s="797">
        <f>IF($G$207=$I$207,97.96,IF(OR($B$207=$AF$1,$B$207=$AF$2,$B$207=$AF$3),89.34,IF($B$207=$AF$4,83.54,IF($B$207=$AF$5,100.07,""))))</f>
        <v>100.07</v>
      </c>
      <c r="D355" s="797">
        <f>IF($G$207=$I$207,52.29,IF(OR($B$207=$AF$1,$B$207=$AF$2,$B$207=$AF$3),49.49,IF($B$207=$AF$4,46.28,IF($B$207=$AF$5,53.79,""))))</f>
        <v>53.79</v>
      </c>
      <c r="E355" s="778">
        <v>26.67</v>
      </c>
      <c r="F355" s="1211">
        <f>IF($G$207=$I$207,26.145,IF($B$207=$AF$1,23.67,IF(OR($B$207=$AF$1,$B$207=$AF$2,$B$207=$AF$3),20.89,IF($B$207=$AF$4,23.14,IF($B$207=$AF$5,24.02,"")))))</f>
        <v>24.02</v>
      </c>
      <c r="G355" s="793">
        <f t="shared" si="19"/>
        <v>26.9</v>
      </c>
    </row>
    <row r="356" spans="1:7" x14ac:dyDescent="0.25">
      <c r="A356" s="770" t="s">
        <v>489</v>
      </c>
      <c r="B356" s="621" t="s">
        <v>533</v>
      </c>
      <c r="C356" s="788">
        <f>IF(OR($B$207=$AF$1,$B$207=$AF$2,$B$207=$AF$3),116.37,IF($B$207=$AF$4,108.78,IF($B$207=$AF$5,70.32,"")))</f>
        <v>70.319999999999993</v>
      </c>
      <c r="D356" s="623">
        <f>IF(OR($B$207=$AF$1,$B$207=$AF$2,$B$207=$AF$3),43.71,IF($B$207=$AF$4,40.87,IF($B$207=$AF$5,39.37,"")))</f>
        <v>39.369999999999997</v>
      </c>
      <c r="E356" s="623">
        <v>26.67</v>
      </c>
      <c r="F356" s="788">
        <f>IF($B$207=$AF$1,23.67,IF(OR($B$207=$AF$1,$B$207=$AF$2,$B$207=$AF$3),20.89,IF($B$207=$AF$4,20.44,IF($B$207=$AF$5,24.02,""))))</f>
        <v>24.02</v>
      </c>
      <c r="G356" s="793">
        <f t="shared" si="19"/>
        <v>19.690000000000001</v>
      </c>
    </row>
    <row r="357" spans="1:7" x14ac:dyDescent="0.25">
      <c r="A357" s="770" t="s">
        <v>490</v>
      </c>
      <c r="B357" s="621" t="s">
        <v>533</v>
      </c>
      <c r="C357" s="788">
        <f>IF(OR($B$207=$AF$1,$B$207=$AF$2,$B$207=$AF$3),116.37,IF($B$207=$AF$4,108.78,IF($B$207=$AF$5,70.32,"")))</f>
        <v>70.319999999999993</v>
      </c>
      <c r="D357" s="623">
        <f>IF(OR($B$207=$AF$1,$B$207=$AF$2,$B$207=$AF$3),43.71,IF($B$207=$AF$4,40.87,IF($B$207=$AF$5,39.37,"")))</f>
        <v>39.369999999999997</v>
      </c>
      <c r="E357" s="623">
        <v>26.67</v>
      </c>
      <c r="F357" s="788">
        <f>IF($B$207=$AF$1,23.67,IF(OR($B$207=$AF$1,$B$207=$AF$2,$B$207=$AF$3),20.89,IF($B$207=$AF$4,20.44,IF($B$207=$AF$5,24.02,""))))</f>
        <v>24.02</v>
      </c>
      <c r="G357" s="793">
        <f t="shared" si="19"/>
        <v>19.690000000000001</v>
      </c>
    </row>
    <row r="358" spans="1:7" x14ac:dyDescent="0.25">
      <c r="A358" s="770" t="s">
        <v>491</v>
      </c>
      <c r="B358" s="621" t="s">
        <v>533</v>
      </c>
      <c r="C358" s="788">
        <f t="shared" ref="C358" si="20">IF(OR($B$207=$AF$1,$B$207=$AF$2,$B$207=$AF$3),116.37,IF($B$207=$AF$4,108.78,IF($B$207=$AF$5,100.07,"")))</f>
        <v>100.07</v>
      </c>
      <c r="D358" s="623">
        <f>IF(OR($B$207=$AF$1,$B$207=$AF$2,$B$207=$AF$3),43.71,IF($B$207=$AF$4,40.87,IF($B$207=$AF$5,39.37,"")))</f>
        <v>39.369999999999997</v>
      </c>
      <c r="E358" s="623">
        <v>26.67</v>
      </c>
      <c r="F358" s="788">
        <f>IF($B$207=$AF$1,23.67,IF(OR($B$207=$AF$1,$B$207=$AF$2,$B$207=$AF$3),20.89,IF($B$207=$AF$4,20.44,IF($B$207=$AF$5,24.02,""))))</f>
        <v>24.02</v>
      </c>
      <c r="G358" s="793">
        <f t="shared" si="19"/>
        <v>19.690000000000001</v>
      </c>
    </row>
    <row r="359" spans="1:7" x14ac:dyDescent="0.25">
      <c r="A359" s="581" t="s">
        <v>267</v>
      </c>
      <c r="B359" s="778" t="s">
        <v>535</v>
      </c>
      <c r="C359" s="797">
        <f>IF($G$207=$I$207,75.13,IF(OR($B$207=$AF$1,$B$207=$AF$2,$B$207=$AF$3),68.77,IF($B$207=$AF$4,64.31,IF($B$207=$AF$5,100.07,""))))</f>
        <v>100.07</v>
      </c>
      <c r="D359" s="797">
        <f>IF($G$207=$I$207,55.89,IF(OR($B$207=$AF$1,$B$207=$AF$2,$B$207=$AF$3),51.42,IF($B$207=$AF$4,48.08,IF($B$207=$AF$5,53.79,""))))</f>
        <v>53.79</v>
      </c>
      <c r="E359" s="778">
        <v>26.67</v>
      </c>
      <c r="F359" s="1211">
        <f>IF($G$207=$I$207,27.945,IF($B$207=$AF$1,23.67,IF(OR($B$207=$AF$1,$B$207=$AF$2,$B$207=$AF$3),20.89,IF($B$207=$AF$4,24.04,IF($B$207=$AF$5,24.02,"")))))</f>
        <v>24.02</v>
      </c>
      <c r="G359" s="793">
        <f t="shared" si="19"/>
        <v>26.9</v>
      </c>
    </row>
    <row r="360" spans="1:7" x14ac:dyDescent="0.25">
      <c r="A360" s="770" t="s">
        <v>493</v>
      </c>
      <c r="B360" s="819" t="s">
        <v>537</v>
      </c>
      <c r="C360" s="822">
        <f>IF(OR($B$207=$AF$1,$B$207=$AF$2,$B$207=$AF$3),116.37,IF($B$207=$AF$4,108.78,IF($B$207=$AF$5,170.39,"")))</f>
        <v>170.39</v>
      </c>
      <c r="D360" s="623">
        <f>IF(OR($B$207=$AF$1,$B$207=$AF$2,$B$207=$AF$3),43.71,IF($B$207=$AF$4,40.87,IF($B$207=$AF$5,87.15,"")))</f>
        <v>87.15</v>
      </c>
      <c r="E360" s="623">
        <v>26.67</v>
      </c>
      <c r="F360" s="788">
        <f>IF($B$207=$AF$1,23.67,IF(OR($B$207=$AF$1,$B$207=$AF$2,$B$207=$AF$3),20.89,IF($B$207=$AF$4,20.44,IF($B$207=$AF$5,24.02,""))))</f>
        <v>24.02</v>
      </c>
      <c r="G360" s="793">
        <f t="shared" si="19"/>
        <v>43.58</v>
      </c>
    </row>
    <row r="361" spans="1:7" x14ac:dyDescent="0.25">
      <c r="A361" s="770" t="s">
        <v>494</v>
      </c>
      <c r="B361" s="819" t="s">
        <v>537</v>
      </c>
      <c r="C361" s="822">
        <f>IF(OR($B$207=$AF$1,$B$207=$AF$2,$B$207=$AF$3),116.37,IF($B$207=$AF$4,108.78,IF($B$207=$AF$5,170.39,"")))</f>
        <v>170.39</v>
      </c>
      <c r="D361" s="623">
        <f>IF(OR($B$207=$AF$1,$B$207=$AF$2,$B$207=$AF$3),43.71,IF($B$207=$AF$4,40.87,IF($B$207=$AF$5,87.15,"")))</f>
        <v>87.15</v>
      </c>
      <c r="E361" s="623">
        <v>26.67</v>
      </c>
      <c r="F361" s="788">
        <f>IF($B$207=$AF$1,23.67,IF(OR($B$207=$AF$1,$B$207=$AF$2,$B$207=$AF$3),20.89,IF($B$207=$AF$4,20.44,IF($B$207=$AF$5,24.02,""))))</f>
        <v>24.02</v>
      </c>
      <c r="G361" s="793">
        <f t="shared" si="19"/>
        <v>43.58</v>
      </c>
    </row>
    <row r="362" spans="1:7" x14ac:dyDescent="0.25">
      <c r="A362" s="581" t="s">
        <v>268</v>
      </c>
      <c r="B362" s="778" t="s">
        <v>537</v>
      </c>
      <c r="C362" s="821">
        <f>IF($G$207=$I$207,173.09,IF(OR($B$207=$AF$1,$B$207=$AF$2,$B$207=$AF$3),157.47,IF($B$207=$AF$4,147.25,IF($B$207=$AF$5,170.39,""))))</f>
        <v>170.39</v>
      </c>
      <c r="D362" s="797">
        <f>IF($G$207=$I$207,82.34,IF(OR($B$207=$AF$1,$B$207=$AF$2,$B$207=$AF$3),80.34,IF($B$207=$AF$4,75.13,IF($B$207=$AF$5,87.15,""))))</f>
        <v>87.15</v>
      </c>
      <c r="E362" s="778">
        <v>26.67</v>
      </c>
      <c r="F362" s="1211">
        <f>IF($G$207=$I$207,41.17,IF($B$207=$AF$1,23.67,IF(OR($B$207=$AF$1,$B$207=$AF$2,$B$207=$AF$3),20.89,IF($B$207=$AF$4,37.57,IF($B$207=$AF$5,24.02,"")))))</f>
        <v>24.02</v>
      </c>
      <c r="G362" s="793">
        <f t="shared" si="19"/>
        <v>43.58</v>
      </c>
    </row>
    <row r="363" spans="1:7" x14ac:dyDescent="0.25">
      <c r="A363" s="581" t="s">
        <v>269</v>
      </c>
      <c r="B363" s="778" t="s">
        <v>537</v>
      </c>
      <c r="C363" s="821">
        <f>IF($G$207=$I$207,174.29,IF(OR($B$207=$AF$1,$B$207=$AF$2,$B$207=$AF$3),158.75,IF($B$207=$AF$4,148.45,IF($B$207=$AF$5,170.39,""))))</f>
        <v>170.39</v>
      </c>
      <c r="D363" s="797">
        <f>IF($G$207=$I$207,69.12,IF(OR($B$207=$AF$1,$B$207=$AF$2,$B$207=$AF$3),65.55,IF($B$207=$AF$4,61.3,IF($B$207=$AF$5,87.15,""))))</f>
        <v>87.15</v>
      </c>
      <c r="E363" s="778">
        <v>26.67</v>
      </c>
      <c r="F363" s="1211">
        <f>IF($G$207=$I$207,34.56,IF($B$207=$AF$1,23.67,IF(OR($B$207=$AF$1,$B$207=$AF$2,$B$207=$AF$3),20.89,IF($B$207=$AF$4,30.65,IF($B$207=$AF$5,24.02,"")))))</f>
        <v>24.02</v>
      </c>
      <c r="G363" s="793">
        <f t="shared" si="19"/>
        <v>43.58</v>
      </c>
    </row>
    <row r="364" spans="1:7" x14ac:dyDescent="0.25">
      <c r="A364" s="770" t="s">
        <v>495</v>
      </c>
      <c r="B364" s="621" t="s">
        <v>533</v>
      </c>
      <c r="C364" s="788">
        <f>IF(OR($B$207=$AF$1,$B$207=$AF$2,$B$207=$AF$3),116.37,IF($B$207=$AF$4,108.78,IF($B$207=$AF$5,70.32,"")))</f>
        <v>70.319999999999993</v>
      </c>
      <c r="D364" s="623">
        <f>IF(OR($B$207=$AF$1,$B$207=$AF$2,$B$207=$AF$3),43.71,IF($B$207=$AF$4,40.87,IF($B$207=$AF$5,39.37,"")))</f>
        <v>39.369999999999997</v>
      </c>
      <c r="E364" s="623">
        <v>26.67</v>
      </c>
      <c r="F364" s="788">
        <f>IF($B$207=$AF$1,23.67,IF(OR($B$207=$AF$1,$B$207=$AF$2,$B$207=$AF$3),20.89,IF($B$207=$AF$4,20.44,IF($B$207=$AF$5,24.02,""))))</f>
        <v>24.02</v>
      </c>
      <c r="G364" s="793">
        <f t="shared" si="19"/>
        <v>19.690000000000001</v>
      </c>
    </row>
    <row r="365" spans="1:7" x14ac:dyDescent="0.25">
      <c r="A365" s="581" t="s">
        <v>270</v>
      </c>
      <c r="B365" s="778" t="s">
        <v>535</v>
      </c>
      <c r="C365" s="797">
        <f>IF($G$207=$I$207,81.14,IF(OR($B$207=$AF$1,$B$207=$AF$2,$B$207=$AF$3),73.92,IF($B$207=$AF$4,69.12,IF($B$207=$AF$5,100.07,""))))</f>
        <v>100.07</v>
      </c>
      <c r="D365" s="797">
        <f>IF($G$207=$I$207,45.08,IF(OR($B$207=$AF$1,$B$207=$AF$2,$B$207=$AF$3),41.78,IF($B$207=$AF$4,39.07,IF($B$207=$AF$5,53.79,""))))</f>
        <v>53.79</v>
      </c>
      <c r="E365" s="778">
        <v>26.67</v>
      </c>
      <c r="F365" s="1211">
        <f>IF($G$207=$I$207,22.54,IF($B$207=$AF$1,23.67,IF(OR($B$207=$AF$1,$B$207=$AF$2,$B$207=$AF$3),20.89,IF($B$207=$AF$4,18.54,IF($B$207=$AF$5,24.02,"")))))</f>
        <v>24.02</v>
      </c>
      <c r="G365" s="793">
        <f t="shared" si="19"/>
        <v>26.9</v>
      </c>
    </row>
    <row r="366" spans="1:7" x14ac:dyDescent="0.25">
      <c r="A366" s="581" t="s">
        <v>271</v>
      </c>
      <c r="B366" s="778" t="s">
        <v>541</v>
      </c>
      <c r="C366" s="797">
        <f>IF($G$207=$I$207,96.16,IF(OR($B$207=$AF$1,$B$207=$AF$2,$B$207=$AF$3),87.41,IF($B$207=$AF$4,81.74,IF($B$207=$AF$5,118.1,""))))</f>
        <v>118.1</v>
      </c>
      <c r="D366" s="797">
        <f>IF($G$207=$I$207,54.09,IF(OR($B$207=$AF$1,$B$207=$AF$2,$B$207=$AF$3),52.06,IF($B$207=$AF$4,48.68,IF($B$207=$AF$5,62.55,""))))</f>
        <v>62.55</v>
      </c>
      <c r="E366" s="778">
        <v>26.67</v>
      </c>
      <c r="F366" s="1211">
        <f>IF($G$207=$I$207,27.045,IF($B$207=$AF$1,23.67,IF(OR($B$207=$AF$1,$B$207=$AF$2,$B$207=$AF$3),20.89,IF($B$207=$AF$4,24.34,IF($B$207=$AF$5,24.02,"")))))</f>
        <v>24.02</v>
      </c>
      <c r="G366" s="793">
        <f t="shared" si="19"/>
        <v>31.28</v>
      </c>
    </row>
    <row r="367" spans="1:7" x14ac:dyDescent="0.25">
      <c r="A367" s="770" t="s">
        <v>496</v>
      </c>
      <c r="B367" s="623" t="s">
        <v>535</v>
      </c>
      <c r="C367" s="788">
        <f>IF(OR($B$207=$AF$1,$B$207=$AF$2,$B$207=$AF$3),116.37,IF($B$207=$AF$4,108.78,IF($B$207=$AF$5,100.07,"")))</f>
        <v>100.07</v>
      </c>
      <c r="D367" s="623">
        <f>IF(OR($B$207=$AF$1,$B$207=$AF$2,$B$207=$AF$3),43.71,IF($B$207=$AF$4,40.87,IF($B$207=$AF$5,53.79,"")))</f>
        <v>53.79</v>
      </c>
      <c r="E367" s="623">
        <v>26.67</v>
      </c>
      <c r="F367" s="788">
        <f>IF($B$207=$AF$1,23.67,IF(OR($B$207=$AF$1,$B$207=$AF$2,$B$207=$AF$3),20.89,IF($B$207=$AF$4,20.44,IF($B$207=$AF$5,24.02,""))))</f>
        <v>24.02</v>
      </c>
      <c r="G367" s="793">
        <f t="shared" si="19"/>
        <v>26.9</v>
      </c>
    </row>
    <row r="368" spans="1:7" x14ac:dyDescent="0.25">
      <c r="A368" s="581" t="s">
        <v>272</v>
      </c>
      <c r="B368" s="778" t="s">
        <v>541</v>
      </c>
      <c r="C368" s="797">
        <f>IF($G$207=$I$207,90.15,IF(OR($B$207=$AF$1,$B$207=$AF$2,$B$207=$AF$3),82.27,IF($B$207=$AF$4,76.93,IF($B$207=$AF$5,118.1,""))))</f>
        <v>118.1</v>
      </c>
      <c r="D368" s="797">
        <f>IF($G$207=$I$207,34.86,IF(OR($B$207=$AF$1,$B$207=$AF$2,$B$207=$AF$3),32.14,IF($B$207=$AF$4,30.05,IF($B$207=$AF$5,62.55,""))))</f>
        <v>62.55</v>
      </c>
      <c r="E368" s="778">
        <v>26.67</v>
      </c>
      <c r="F368" s="1211">
        <f>IF($G$207=$I$207,17.43,IF($B$207=$AF$1,23.67,IF(OR($B$207=$AF$1,$B$207=$AF$2,$B$207=$AF$3),20.89,IF($B$207=$AF$4,15.03,IF($B$207=$AF$5,24.02,"")))))</f>
        <v>24.02</v>
      </c>
      <c r="G368" s="793">
        <f t="shared" si="19"/>
        <v>31.28</v>
      </c>
    </row>
    <row r="369" spans="1:7" x14ac:dyDescent="0.25">
      <c r="A369" s="770" t="s">
        <v>497</v>
      </c>
      <c r="B369" s="621" t="s">
        <v>533</v>
      </c>
      <c r="C369" s="788">
        <f>IF(OR($B$207=$AF$1,$B$207=$AF$2,$B$207=$AF$3),116.37,IF($B$207=$AF$4,108.78,IF($B$207=$AF$5,70.32,"")))</f>
        <v>70.319999999999993</v>
      </c>
      <c r="D369" s="623">
        <f>IF(OR($B$207=$AF$1,$B$207=$AF$2,$B$207=$AF$3),43.71,IF($B$207=$AF$4,40.87,IF($B$207=$AF$5,39.37,"")))</f>
        <v>39.369999999999997</v>
      </c>
      <c r="E369" s="623">
        <v>26.67</v>
      </c>
      <c r="F369" s="788">
        <f>IF($B$207=$AF$1,23.67,IF(OR($B$207=$AF$1,$B$207=$AF$2,$B$207=$AF$3),20.89,IF($B$207=$AF$4,20.44,IF($B$207=$AF$5,24.02,""))))</f>
        <v>24.02</v>
      </c>
      <c r="G369" s="793">
        <f t="shared" si="19"/>
        <v>19.690000000000001</v>
      </c>
    </row>
    <row r="370" spans="1:7" x14ac:dyDescent="0.25">
      <c r="A370" s="770" t="s">
        <v>498</v>
      </c>
      <c r="B370" s="621" t="s">
        <v>533</v>
      </c>
      <c r="C370" s="788">
        <f>IF(OR($B$207=$AF$1,$B$207=$AF$2,$B$207=$AF$3),116.37,IF($B$207=$AF$4,108.78,IF($B$207=$AF$5,70.32,"")))</f>
        <v>70.319999999999993</v>
      </c>
      <c r="D370" s="623">
        <f>IF(OR($B$207=$AF$1,$B$207=$AF$2,$B$207=$AF$3),43.71,IF($B$207=$AF$4,40.87,IF($B$207=$AF$5,39.37,"")))</f>
        <v>39.369999999999997</v>
      </c>
      <c r="E370" s="623">
        <v>26.67</v>
      </c>
      <c r="F370" s="788">
        <f>IF($B$207=$AF$1,23.67,IF(OR($B$207=$AF$1,$B$207=$AF$2,$B$207=$AF$3),20.89,IF($B$207=$AF$4,20.44,IF($B$207=$AF$5,24.02,""))))</f>
        <v>24.02</v>
      </c>
      <c r="G370" s="793">
        <f t="shared" si="19"/>
        <v>19.690000000000001</v>
      </c>
    </row>
    <row r="371" spans="1:7" x14ac:dyDescent="0.25">
      <c r="A371" s="770" t="s">
        <v>499</v>
      </c>
      <c r="B371" s="621" t="s">
        <v>533</v>
      </c>
      <c r="C371" s="788">
        <f>IF(OR($B$207=$AF$1,$B$207=$AF$2,$B$207=$AF$3),116.37,IF($B$207=$AF$4,108.78,IF($B$207=$AF$5,70.32,"")))</f>
        <v>70.319999999999993</v>
      </c>
      <c r="D371" s="623">
        <f>IF(OR($B$207=$AF$1,$B$207=$AF$2,$B$207=$AF$3),43.71,IF($B$207=$AF$4,40.87,IF($B$207=$AF$5,39.37,"")))</f>
        <v>39.369999999999997</v>
      </c>
      <c r="E371" s="623">
        <v>26.67</v>
      </c>
      <c r="F371" s="788">
        <f>IF($B$207=$AF$1,23.67,IF(OR($B$207=$AF$1,$B$207=$AF$2,$B$207=$AF$3),20.89,IF($B$207=$AF$4,20.44,IF($B$207=$AF$5,24.02,""))))</f>
        <v>24.02</v>
      </c>
      <c r="G371" s="793">
        <f t="shared" si="19"/>
        <v>19.690000000000001</v>
      </c>
    </row>
    <row r="372" spans="1:7" x14ac:dyDescent="0.25">
      <c r="A372" s="770" t="s">
        <v>500</v>
      </c>
      <c r="B372" s="621" t="s">
        <v>533</v>
      </c>
      <c r="C372" s="788">
        <f>IF(OR($B$207=$AF$1,$B$207=$AF$2,$B$207=$AF$3),116.37,IF($B$207=$AF$4,108.78,IF($B$207=$AF$5,70.32,"")))</f>
        <v>70.319999999999993</v>
      </c>
      <c r="D372" s="623">
        <f>IF(OR($B$207=$AF$1,$B$207=$AF$2,$B$207=$AF$3),43.71,IF($B$207=$AF$4,40.87,IF($B$207=$AF$5,39.37,"")))</f>
        <v>39.369999999999997</v>
      </c>
      <c r="E372" s="623">
        <v>26.67</v>
      </c>
      <c r="F372" s="788">
        <f>IF($B$207=$AF$1,23.67,IF(OR($B$207=$AF$1,$B$207=$AF$2,$B$207=$AF$3),20.89,IF($B$207=$AF$4,20.44,IF($B$207=$AF$5,24.02,""))))</f>
        <v>24.02</v>
      </c>
      <c r="G372" s="793">
        <f t="shared" si="19"/>
        <v>19.690000000000001</v>
      </c>
    </row>
    <row r="373" spans="1:7" x14ac:dyDescent="0.25">
      <c r="A373" s="581" t="s">
        <v>273</v>
      </c>
      <c r="B373" s="778" t="s">
        <v>533</v>
      </c>
      <c r="C373" s="797">
        <f>IF($G$207=$I$207,60.7,IF(OR($B$207=$AF$1,$B$207=$AF$2,$B$207=$AF$3),55.28,IF($B$207=$AF$4,51.69,IF($B$207=$AF$5,70.32,""))))</f>
        <v>70.319999999999993</v>
      </c>
      <c r="D373" s="797">
        <f>IF($G$207=$I$207,54.09,IF(OR($B$207=$AF$1,$B$207=$AF$2,$B$207=$AF$3),49.49,IF($B$207=$AF$4,46.28,IF($B$207=$AF$5,39.37,""))))</f>
        <v>39.369999999999997</v>
      </c>
      <c r="E373" s="778">
        <v>26.67</v>
      </c>
      <c r="F373" s="1211">
        <f>IF($G$207=$I$207,27.045,IF($B$207=$AF$1,23.67,IF(OR($B$207=$AF$1,$B$207=$AF$2,$B$207=$AF$3),20.89,IF($B$207=$AF$4,23.14,IF($B$207=$AF$5,24.02,"")))))</f>
        <v>24.02</v>
      </c>
      <c r="G373" s="793">
        <f t="shared" si="19"/>
        <v>19.690000000000001</v>
      </c>
    </row>
    <row r="374" spans="1:7" x14ac:dyDescent="0.25">
      <c r="A374" s="770" t="s">
        <v>502</v>
      </c>
      <c r="B374" s="623" t="s">
        <v>535</v>
      </c>
      <c r="C374" s="788">
        <f>IF(OR($B$207=$AF$1,$B$207=$AF$2,$B$207=$AF$3),116.37,IF($B$207=$AF$4,108.78,IF($B$207=$AF$5,100.07,"")))</f>
        <v>100.07</v>
      </c>
      <c r="D374" s="623">
        <f>IF(OR($B$207=$AF$1,$B$207=$AF$2,$B$207=$AF$3),43.71,IF($B$207=$AF$4,40.87,IF($B$207=$AF$5,53.79,"")))</f>
        <v>53.79</v>
      </c>
      <c r="E374" s="623">
        <v>26.67</v>
      </c>
      <c r="F374" s="788">
        <f>IF($B$207=$AF$1,23.67,IF(OR($B$207=$AF$1,$B$207=$AF$2,$B$207=$AF$3),20.89,IF($B$207=$AF$4,20.44,IF($B$207=$AF$5,24.02,""))))</f>
        <v>24.02</v>
      </c>
      <c r="G374" s="793">
        <f t="shared" si="19"/>
        <v>26.9</v>
      </c>
    </row>
    <row r="375" spans="1:7" x14ac:dyDescent="0.25">
      <c r="A375" s="581" t="s">
        <v>503</v>
      </c>
      <c r="B375" s="778" t="s">
        <v>533</v>
      </c>
      <c r="C375" s="797">
        <f>IF($G$207=$I$207,72.12,IF(OR($B$207=$AF$1,$B$207=$AF$2,$B$207=$AF$3),65.55,IF($B$207=$AF$4,61.3,IF($B$207=$AF$5,70.32,""))))</f>
        <v>70.319999999999993</v>
      </c>
      <c r="D375" s="797">
        <f>IF($G$207=$I$207,45.08,IF(OR($B$207=$AF$1,$B$207=$AF$2,$B$207=$AF$3),41.78,IF($B$207=$AF$4,39.07,IF($B$207=$AF$5,39.37,""))))</f>
        <v>39.369999999999997</v>
      </c>
      <c r="E375" s="778">
        <v>26.67</v>
      </c>
      <c r="F375" s="1211">
        <f>IF($G$207=$I$207,22.54,IF($B$207=$AF$1,23.67,IF(OR($B$207=$AF$1,$B$207=$AF$2,$B$207=$AF$3),20.89,IF($B$207=$AF$4,19.54,IF($B$207=$AF$5,24.02,"")))))</f>
        <v>24.02</v>
      </c>
      <c r="G375" s="793">
        <f t="shared" si="19"/>
        <v>19.690000000000001</v>
      </c>
    </row>
    <row r="376" spans="1:7" x14ac:dyDescent="0.25">
      <c r="A376" s="770" t="s">
        <v>504</v>
      </c>
      <c r="B376" s="819" t="s">
        <v>537</v>
      </c>
      <c r="C376" s="822">
        <f>IF(OR($B$207=$AF$1,$B$207=$AF$2,$B$207=$AF$3),116.37,IF($B$207=$AF$4,108.78,IF($B$207=$AF$5,170.39,"")))</f>
        <v>170.39</v>
      </c>
      <c r="D376" s="623">
        <f>IF(OR($B$207=$AF$1,$B$207=$AF$2,$B$207=$AF$3),43.71,IF($B$207=$AF$4,40.87,IF($B$207=$AF$5,87.15,"")))</f>
        <v>87.15</v>
      </c>
      <c r="E376" s="623">
        <v>26.67</v>
      </c>
      <c r="F376" s="788">
        <f>IF($B$207=$AF$1,23.67,IF(OR($B$207=$AF$1,$B$207=$AF$2,$B$207=$AF$3),20.89,IF($B$207=$AF$4,20.44,IF($B$207=$AF$5,24.02,""))))</f>
        <v>24.02</v>
      </c>
      <c r="G376" s="793">
        <f t="shared" si="19"/>
        <v>43.58</v>
      </c>
    </row>
    <row r="377" spans="1:7" x14ac:dyDescent="0.25">
      <c r="A377" s="770" t="s">
        <v>505</v>
      </c>
      <c r="B377" s="623" t="s">
        <v>535</v>
      </c>
      <c r="C377" s="788">
        <f>IF(OR($B$207=$AF$1,$B$207=$AF$2,$B$207=$AF$3),116.37,IF($B$207=$AF$4,108.78,IF($B$207=$AF$5,100.07,"")))</f>
        <v>100.07</v>
      </c>
      <c r="D377" s="623">
        <f>IF(OR($B$207=$AF$1,$B$207=$AF$2,$B$207=$AF$3),43.71,IF($B$207=$AF$4,40.87,IF($B$207=$AF$5,53.79,"")))</f>
        <v>53.79</v>
      </c>
      <c r="E377" s="623">
        <v>26.67</v>
      </c>
      <c r="F377" s="788">
        <f>IF($B$207=$AF$1,23.67,IF(OR($B$207=$AF$1,$B$207=$AF$2,$B$207=$AF$3),20.89,IF($B$207=$AF$4,20.44,IF($B$207=$AF$5,24.02,""))))</f>
        <v>24.02</v>
      </c>
      <c r="G377" s="793">
        <f t="shared" si="19"/>
        <v>26.9</v>
      </c>
    </row>
    <row r="378" spans="1:7" x14ac:dyDescent="0.25">
      <c r="A378" s="581" t="s">
        <v>275</v>
      </c>
      <c r="B378" s="778" t="s">
        <v>533</v>
      </c>
      <c r="C378" s="797">
        <f>IF($G$207=$I$207,67.31,IF(OR($B$207=$AF$1,$B$207=$AF$2,$B$207=$AF$3),61.7,IF($B$207=$AF$4,57.7,IF($B$207=$AF$5,70.32,""))))</f>
        <v>70.319999999999993</v>
      </c>
      <c r="D378" s="797">
        <f>IF($G$207=$I$207,46.68,IF(OR($B$207=$AF$1,$B$207=$AF$2,$B$207=$AF$3),44.35,IF($B$207=$AF$4,41.47,IF($B$207=$AF$5,39.37,""))))</f>
        <v>39.369999999999997</v>
      </c>
      <c r="E378" s="778">
        <v>26.67</v>
      </c>
      <c r="F378" s="1211">
        <f>IF($G$207=$I$207,23.34,IF($B$207=$AF$1,23.67,IF(OR($B$207=$AF$1,$B$207=$AF$2,$B$207=$AF$3),20.89,IF($B$207=$AF$4,20.74,IF($B$207=$AF$5,24.02,"")))))</f>
        <v>24.02</v>
      </c>
      <c r="G378" s="793">
        <f t="shared" si="19"/>
        <v>19.690000000000001</v>
      </c>
    </row>
    <row r="379" spans="1:7" x14ac:dyDescent="0.25">
      <c r="A379" s="770" t="s">
        <v>506</v>
      </c>
      <c r="B379" s="623" t="s">
        <v>535</v>
      </c>
      <c r="C379" s="788">
        <f>IF(OR($B$207=$AF$1,$B$207=$AF$2,$B$207=$AF$3),116.37,IF($B$207=$AF$4,108.78,IF($B$207=$AF$5,100.07,"")))</f>
        <v>100.07</v>
      </c>
      <c r="D379" s="623">
        <f>IF(OR($B$207=$AF$1,$B$207=$AF$2,$B$207=$AF$3),43.71,IF($B$207=$AF$4,40.87,IF($B$207=$AF$5,53.79,"")))</f>
        <v>53.79</v>
      </c>
      <c r="E379" s="623">
        <v>26.67</v>
      </c>
      <c r="F379" s="788">
        <f>IF($B$207=$AF$1,23.67,IF(OR($B$207=$AF$1,$B$207=$AF$2,$B$207=$AF$3),20.89,IF($B$207=$AF$4,20.44,IF($B$207=$AF$5,24.02,""))))</f>
        <v>24.02</v>
      </c>
      <c r="G379" s="793">
        <f t="shared" si="19"/>
        <v>26.9</v>
      </c>
    </row>
    <row r="380" spans="1:7" x14ac:dyDescent="0.25">
      <c r="A380" s="581" t="s">
        <v>276</v>
      </c>
      <c r="B380" s="778" t="s">
        <v>535</v>
      </c>
      <c r="C380" s="797">
        <f>IF($G$207=$I$207,91.35,IF(OR($B$207=$AF$1,$B$207=$AF$2,$B$207=$AF$3),83.55,IF($B$207=$AF$4,78.13,IF($B$207=$AF$5,100.07,""))))</f>
        <v>100.07</v>
      </c>
      <c r="D380" s="797">
        <f>IF($G$207=$I$207,42.07,IF(OR($B$207=$AF$1,$B$207=$AF$2,$B$207=$AF$3),38.56,IF($B$207=$AF$4,36.06,IF($B$207=$AF$5,53.79,""))))</f>
        <v>53.79</v>
      </c>
      <c r="E380" s="778">
        <v>26.67</v>
      </c>
      <c r="F380" s="1211">
        <f>IF($G$207=$I$207,21.035,IF($B$207=$AF$1,23.67,IF(OR($B$207=$AF$1,$B$207=$AF$2,$B$207=$AF$3),20.89,IF($B$207=$AF$4,18.03,IF($B$207=$AF$5,24.02,"")))))</f>
        <v>24.02</v>
      </c>
      <c r="G380" s="793">
        <f t="shared" si="19"/>
        <v>26.9</v>
      </c>
    </row>
    <row r="381" spans="1:7" x14ac:dyDescent="0.25">
      <c r="A381" s="770" t="s">
        <v>507</v>
      </c>
      <c r="B381" s="621" t="s">
        <v>541</v>
      </c>
      <c r="C381" s="788">
        <f>IF(OR($B$207=$AF$1,$B$207=$AF$2,$B$207=$AF$3),116.37,IF($B$207=$AF$4,108.78,IF($B$207=$AF$5,118.1,"")))</f>
        <v>118.1</v>
      </c>
      <c r="D381" s="623">
        <f>IF(OR($B$207=$AF$1,$B$207=$AF$2,$B$207=$AF$3),43.71,IF($B$207=$AF$4,40.87,IF($B$207=$AF$5,62.55,"")))</f>
        <v>62.55</v>
      </c>
      <c r="E381" s="623">
        <v>26.67</v>
      </c>
      <c r="F381" s="788">
        <f>IF($B$207=$AF$1,23.67,IF(OR($B$207=$AF$1,$B$207=$AF$2,$B$207=$AF$3),20.89,IF($B$207=$AF$4,20.44,IF($B$207=$AF$5,24.02,""))))</f>
        <v>24.02</v>
      </c>
      <c r="G381" s="793">
        <f t="shared" si="19"/>
        <v>31.28</v>
      </c>
    </row>
    <row r="382" spans="1:7" x14ac:dyDescent="0.25">
      <c r="A382" s="581" t="s">
        <v>277</v>
      </c>
      <c r="B382" s="778" t="s">
        <v>541</v>
      </c>
      <c r="C382" s="797">
        <f>IF($G$207=$I$207,156.26,IF(OR($B$207=$AF$1,$B$207=$AF$2,$B$207=$AF$3),142.04,IF($B$207=$AF$4,132.82,IF($B$207=$AF$5,118.1,""))))</f>
        <v>118.1</v>
      </c>
      <c r="D382" s="797">
        <f>IF($G$207=$I$207,49.28,IF(OR($B$207=$AF$1,$B$207=$AF$2,$B$207=$AF$3),46.27,IF($B$207=$AF$4,43.27,IF($B$207=$AF$5,62.55,""))))</f>
        <v>62.55</v>
      </c>
      <c r="E382" s="778">
        <v>26.67</v>
      </c>
      <c r="F382" s="1211">
        <f>IF($G$207=$I$207,24.64,IF($B$207=$AF$1,23.67,IF(OR($B$207=$AF$1,$B$207=$AF$2,$B$207=$AF$3),20.89,IF($B$207=$AF$4,21.64,IF($B$207=$AF$5,24.02,"")))))</f>
        <v>24.02</v>
      </c>
      <c r="G382" s="793">
        <f t="shared" si="19"/>
        <v>31.28</v>
      </c>
    </row>
    <row r="383" spans="1:7" x14ac:dyDescent="0.25">
      <c r="A383" s="770" t="s">
        <v>508</v>
      </c>
      <c r="B383" s="623" t="s">
        <v>535</v>
      </c>
      <c r="C383" s="788">
        <f t="shared" ref="C383" si="21">IF(OR($B$207=$AF$1,$B$207=$AF$2,$B$207=$AF$3),116.37,IF($B$207=$AF$4,108.78,IF($B$207=$AF$5,100.07,"")))</f>
        <v>100.07</v>
      </c>
      <c r="D383" s="623">
        <f t="shared" ref="D383" si="22">IF(OR($B$207=$AF$1,$B$207=$AF$2,$B$207=$AF$3),43.71,IF($B$207=$AF$4,40.87,IF($B$207=$AF$5,53.79,"")))</f>
        <v>53.79</v>
      </c>
      <c r="E383" s="623">
        <v>26.67</v>
      </c>
      <c r="F383" s="788">
        <f>IF($B$207=$AF$1,23.67,IF(OR($B$207=$AF$1,$B$207=$AF$2,$B$207=$AF$3),20.89,IF($B$207=$AF$4,20.44,IF($B$207=$AF$5,24.02,""))))</f>
        <v>24.02</v>
      </c>
      <c r="G383" s="793">
        <f t="shared" si="19"/>
        <v>26.9</v>
      </c>
    </row>
    <row r="384" spans="1:7" x14ac:dyDescent="0.25">
      <c r="A384" s="770" t="s">
        <v>510</v>
      </c>
      <c r="B384" s="621" t="s">
        <v>533</v>
      </c>
      <c r="C384" s="788">
        <f>IF(OR($B$207=$AF$1,$B$207=$AF$2,$B$207=$AF$3),116.37,IF($B$207=$AF$4,108.78,IF($B$207=$AF$5,70.32,"")))</f>
        <v>70.319999999999993</v>
      </c>
      <c r="D384" s="623">
        <f>IF(OR($B$207=$AF$1,$B$207=$AF$2,$B$207=$AF$3),43.71,IF($B$207=$AF$4,40.87,IF($B$207=$AF$5,39.37,"")))</f>
        <v>39.369999999999997</v>
      </c>
      <c r="E384" s="623">
        <v>26.67</v>
      </c>
      <c r="F384" s="788">
        <f>IF($B$207=$AF$1,23.67,IF(OR($B$207=$AF$1,$B$207=$AF$2,$B$207=$AF$3),20.89,IF($B$207=$AF$4,20.44,IF($B$207=$AF$5,24.02,""))))</f>
        <v>24.02</v>
      </c>
      <c r="G384" s="793">
        <f t="shared" si="19"/>
        <v>19.690000000000001</v>
      </c>
    </row>
    <row r="385" spans="1:9" x14ac:dyDescent="0.25">
      <c r="A385" s="581" t="s">
        <v>176</v>
      </c>
      <c r="B385" s="778" t="s">
        <v>535</v>
      </c>
      <c r="C385" s="797">
        <f>IF($G$207=$I$207,90.15,IF(OR($B$207=$AF$1,$B$207=$AF$2,$B$207=$AF$3),82.27,IF($B$207=$AF$4,76.93,IF($B$207=$AF$5,100.07,""))))</f>
        <v>100.07</v>
      </c>
      <c r="D385" s="797">
        <f>IF($G$207=$I$207,45.08,IF(OR($B$207=$AF$1,$B$207=$AF$2,$B$207=$AF$3),41.78,IF($B$207=$AF$4,39.07,IF($B$207=$AF$5,53.79,""))))</f>
        <v>53.79</v>
      </c>
      <c r="E385" s="778">
        <v>26.67</v>
      </c>
      <c r="F385" s="1211">
        <f>IF($G$207=$I$207,22.54,IF($B$207=$AF$1,23.67,IF(OR($B$207=$AF$1,$B$207=$AF$2,$B$207=$AF$3),20.89,IF($B$207=$AF$4,19.54,IF($B$207=$AF$5,24.02,"")))))</f>
        <v>24.02</v>
      </c>
      <c r="G385" s="793">
        <f t="shared" si="19"/>
        <v>26.9</v>
      </c>
    </row>
    <row r="386" spans="1:9" x14ac:dyDescent="0.25">
      <c r="A386" s="770" t="s">
        <v>177</v>
      </c>
      <c r="B386" s="623" t="s">
        <v>541</v>
      </c>
      <c r="C386" s="788">
        <f>IF($G$207=$I$207,127.41,IF(OR($B$207=$AF$1,$B$207=$AF$2,$B$207=$AF$3),116.33,IF($B$207=$AF$4,108.78,IF($B$207=$AF$5,118.1,""))))</f>
        <v>118.1</v>
      </c>
      <c r="D386" s="623">
        <f>IF($G$207=$I$207,46.88,IF(OR($B$207=$AF$1,$B$207=$AF$2,$B$207=$AF$3),43.71,IF($B$207=$AF$4,40.87,IF($B$207=$AF$5,62.55,""))))</f>
        <v>62.55</v>
      </c>
      <c r="E386" s="623">
        <v>26.67</v>
      </c>
      <c r="F386" s="788">
        <f>IF($G$207=$I$207,23.44,IF($B$207=$AF$1,23.67,IF(OR($B$207=$AF$1,$B$207=$AF$2,$B$207=$AF$3),20.89,IF($B$207=$AF$4,20.44,IF($B$207=$AF$5,24.02,"")))))</f>
        <v>24.02</v>
      </c>
      <c r="G386" s="793">
        <f t="shared" si="19"/>
        <v>31.28</v>
      </c>
    </row>
    <row r="387" spans="1:9" ht="14.4" x14ac:dyDescent="0.3">
      <c r="A387" s="784" t="s">
        <v>509</v>
      </c>
      <c r="B387" s="782" t="s">
        <v>557</v>
      </c>
      <c r="C387" s="801">
        <f>IF($G$207=$I$207,119,IF(OR($B$207=$AF$1,$B$207=$AF$2,$B$207=$AF$3),108.62,IF($B$207=$AF$4,101.57,IF($B$207=$AF$5,118.1,""))))</f>
        <v>118.1</v>
      </c>
      <c r="D387" s="1210">
        <f>IF($G$207=$I$207,60.7,IF(OR($B$207=$AF$1,$B$207=$AF$2,$B$207=$AF$3),57.84,IF($B$207=$AF$4,54.09,IF($B$207=$AF$5,62.55,""))))</f>
        <v>62.55</v>
      </c>
      <c r="E387" s="779">
        <v>26.67</v>
      </c>
      <c r="F387" s="1216">
        <f>IF($G$207=$I$207,30.35,IF($B$207=$AF$1,23.67,IF(OR($B$207=$AF$1,$B$207=$AF$2,$B$207=$AF$3),20.89,IF($B$207=$AF$4,27.05,IF($B$207=$AF$5,24.02,"")))))</f>
        <v>24.02</v>
      </c>
      <c r="G387" s="793">
        <f t="shared" si="19"/>
        <v>31.28</v>
      </c>
    </row>
    <row r="388" spans="1:9" x14ac:dyDescent="0.25">
      <c r="A388" s="965" t="s">
        <v>558</v>
      </c>
      <c r="B388" s="786" t="str">
        <f>IFERROR(VLOOKUP(F390,AB2:AD31,1,0),"")</f>
        <v/>
      </c>
      <c r="C388" s="786"/>
      <c r="D388" s="785" t="str">
        <f>IF(B388&lt;&gt;"","LAS ESTANCIAS EN CENTROS I+D, MUESTREO O TOMA DE DATOS, ESTÁN LIMITADOS A 1.500 €/MES (50€/DÍA) PARA MANUTENCIÓN Y ALOJAMIENTO","")</f>
        <v/>
      </c>
      <c r="E388" s="785"/>
      <c r="F388" s="785"/>
      <c r="G388" s="967">
        <v>0</v>
      </c>
    </row>
    <row r="389" spans="1:9" x14ac:dyDescent="0.25">
      <c r="A389" s="965" t="s">
        <v>1214</v>
      </c>
      <c r="B389" s="786" t="str">
        <f>IFERROR(VLOOKUP(F390,AB2:AD31,1,0),"")</f>
        <v/>
      </c>
      <c r="C389" s="786"/>
      <c r="D389" s="785" t="str">
        <f>IF(B389&lt;&gt;"","LAS ESTANCIAS EN CENTROS I+D, MUESTREO O TOMA DE DATOS, ESTÁN LIMITADOS A 1.950 €/MES (65€/DÍA) PARA MANUTENCIÓN Y ALOJAMIENTO","")</f>
        <v/>
      </c>
      <c r="E389" s="785"/>
      <c r="F389" s="785"/>
      <c r="G389" s="967">
        <v>0</v>
      </c>
    </row>
    <row r="390" spans="1:9" x14ac:dyDescent="0.25">
      <c r="A390" s="1113" t="str">
        <f>'LIQUIDACIÓN-GASTOS'!AF2</f>
        <v/>
      </c>
      <c r="B390"/>
      <c r="C390" t="s">
        <v>88</v>
      </c>
      <c r="D390"/>
      <c r="E390"/>
      <c r="F390" s="1430" t="str">
        <f>'LIQUIDACIÓN-GASTOS'!AI6</f>
        <v>Elija la Opción    ▼</v>
      </c>
      <c r="G390" s="1431"/>
    </row>
    <row r="391" spans="1:9" x14ac:dyDescent="0.25">
      <c r="A391" s="912" t="s">
        <v>451</v>
      </c>
      <c r="B391" s="912"/>
      <c r="C391" s="912" t="s">
        <v>559</v>
      </c>
      <c r="D391" s="912" t="s">
        <v>560</v>
      </c>
      <c r="E391" s="912" t="s">
        <v>561</v>
      </c>
      <c r="F391" s="912" t="s">
        <v>562</v>
      </c>
      <c r="G391" s="912" t="s">
        <v>563</v>
      </c>
      <c r="H391" s="912" t="s">
        <v>564</v>
      </c>
      <c r="I391" s="912" t="s">
        <v>565</v>
      </c>
    </row>
    <row r="392" spans="1:9" x14ac:dyDescent="0.25">
      <c r="A392" s="190" t="s">
        <v>297</v>
      </c>
      <c r="B392"/>
      <c r="C392" s="580">
        <v>130</v>
      </c>
      <c r="D392" s="580">
        <v>150</v>
      </c>
      <c r="E392" s="580">
        <v>53.34</v>
      </c>
      <c r="F392" s="580">
        <v>53.34</v>
      </c>
      <c r="G392" s="580">
        <v>23.67</v>
      </c>
      <c r="H392" s="164">
        <v>23.67</v>
      </c>
      <c r="I392" s="164">
        <v>26.67</v>
      </c>
    </row>
    <row r="393" spans="1:9" x14ac:dyDescent="0.25">
      <c r="A393" t="s">
        <v>305</v>
      </c>
      <c r="B393"/>
      <c r="C393" s="580">
        <v>90</v>
      </c>
      <c r="D393" s="580">
        <v>120</v>
      </c>
      <c r="E393" s="580">
        <v>40.82</v>
      </c>
      <c r="F393" s="580">
        <v>41.78</v>
      </c>
      <c r="G393" s="580">
        <v>20.89</v>
      </c>
      <c r="H393" s="164">
        <v>20.41</v>
      </c>
      <c r="I393" s="164">
        <v>26.67</v>
      </c>
    </row>
    <row r="394" spans="1:9" x14ac:dyDescent="0.25">
      <c r="A394" s="552" t="s">
        <v>310</v>
      </c>
      <c r="B394"/>
      <c r="C394" s="580">
        <v>64.27</v>
      </c>
      <c r="D394" s="580">
        <v>96.41</v>
      </c>
      <c r="E394" s="580">
        <v>40.82</v>
      </c>
      <c r="F394" s="580">
        <v>41.78</v>
      </c>
      <c r="G394" s="580">
        <v>20.89</v>
      </c>
      <c r="H394" s="164">
        <v>20.41</v>
      </c>
      <c r="I394" s="164">
        <v>26.67</v>
      </c>
    </row>
    <row r="395" spans="1:9" x14ac:dyDescent="0.25">
      <c r="A395" s="723" t="s">
        <v>313</v>
      </c>
      <c r="B395"/>
      <c r="C395" s="580">
        <v>65.97</v>
      </c>
      <c r="D395" s="580">
        <v>65.97</v>
      </c>
      <c r="E395" s="580">
        <v>37.4</v>
      </c>
      <c r="F395" s="580">
        <v>37.4</v>
      </c>
      <c r="G395" s="580">
        <v>18.7</v>
      </c>
      <c r="H395" s="164">
        <v>18.7</v>
      </c>
      <c r="I395" s="164">
        <v>0</v>
      </c>
    </row>
    <row r="396" spans="1:9" x14ac:dyDescent="0.25">
      <c r="A396" s="493" t="s">
        <v>315</v>
      </c>
      <c r="B396"/>
      <c r="C396" s="580">
        <v>96.73</v>
      </c>
      <c r="D396" s="580">
        <v>149.44</v>
      </c>
      <c r="E396" s="913">
        <v>44.9</v>
      </c>
      <c r="F396" s="580">
        <v>48.05</v>
      </c>
      <c r="G396" s="580">
        <v>24.02</v>
      </c>
      <c r="H396" s="164">
        <v>22.45</v>
      </c>
      <c r="I396" s="164">
        <v>26.67</v>
      </c>
    </row>
    <row r="397" spans="1:9" x14ac:dyDescent="0.25">
      <c r="A397" s="67" t="s">
        <v>1182</v>
      </c>
      <c r="B397"/>
      <c r="C397"/>
      <c r="D397"/>
      <c r="E397"/>
      <c r="F397"/>
      <c r="G397"/>
    </row>
    <row r="398" spans="1:9" x14ac:dyDescent="0.25">
      <c r="A398"/>
      <c r="B398"/>
      <c r="C398" s="622">
        <f>IF(A390="",0,IF(A390=A392,C392,IF(A390=A393,C393,IF(OR(A390=A394,A390=A397),C394,IF(A390=A395,C395,IF(A390=A396,C396,0))))))</f>
        <v>0</v>
      </c>
      <c r="D398" s="622">
        <f>IF(A390=A392,D392,IF(A390=A393,D393,IF(OR(A390=A394,A390=A397),D394,IF(A395=A390,D395,IF(A390=A396,D396,0)))))</f>
        <v>0</v>
      </c>
      <c r="E398" s="622">
        <f>IF(A390=A392,E392,IF(A390=A393,E393,IF(OR(A390=A394,A390=A397),E394,IF(A390=A395,E395,IF(A390=A396,E396,0)))))</f>
        <v>0</v>
      </c>
      <c r="F398" s="622">
        <f>IF(G207=I207,102.56,IF(A390="",0,IF(A390=A392,F392,IF(A390=A393,F393,IF(OR(A390=A394,A390=A397),F394,IF(A395=A395,F395,IF(A390=A396=F396,0)))))))</f>
        <v>0</v>
      </c>
      <c r="G398" s="622">
        <f>IF(A390=A392,G392,IF(A390=A393,G393,IF(OR(A390=A394,A390=A397),G394,IF(A390=A395,G395,IF(A390=A396,G396,0)))))</f>
        <v>0</v>
      </c>
      <c r="H398" s="622">
        <f>IF(A390=A392,H392,IF(A390=A393,H393,IF(OR(A390=A394,A390=A397),H394,IF(A390=A395,H395,IF(A390=A396,H396,0)))))</f>
        <v>0</v>
      </c>
      <c r="I398" s="622">
        <f>IF(A390=A392,I392,IF(A390=A393,I393,IF(OR(A390=A394,A390=A397),I394,IF(A390=A395,I395,IF(A390=A396,I396,0)))))</f>
        <v>0</v>
      </c>
    </row>
    <row r="399" spans="1:9" x14ac:dyDescent="0.25">
      <c r="A399"/>
      <c r="B399"/>
      <c r="C399"/>
      <c r="D399"/>
      <c r="E399"/>
      <c r="F399"/>
      <c r="G399"/>
    </row>
    <row r="400" spans="1:9" x14ac:dyDescent="0.25">
      <c r="A400" s="67" t="s">
        <v>88</v>
      </c>
      <c r="B400"/>
      <c r="C400"/>
      <c r="D400"/>
      <c r="E400"/>
      <c r="F400"/>
      <c r="G400"/>
    </row>
    <row r="401" spans="1:10" x14ac:dyDescent="0.25">
      <c r="A401" s="716" t="s">
        <v>88</v>
      </c>
      <c r="B401" s="582" t="s">
        <v>301</v>
      </c>
      <c r="C401" s="719">
        <v>26.67</v>
      </c>
      <c r="D401" s="582" t="s">
        <v>302</v>
      </c>
      <c r="E401" s="719">
        <v>53.34</v>
      </c>
      <c r="F401" s="582" t="s">
        <v>304</v>
      </c>
      <c r="G401" s="718">
        <v>0</v>
      </c>
      <c r="H401" s="582" t="s">
        <v>313</v>
      </c>
      <c r="I401" s="930" t="s">
        <v>566</v>
      </c>
      <c r="J401" s="719">
        <v>102.56</v>
      </c>
    </row>
    <row r="402" spans="1:10" x14ac:dyDescent="0.25">
      <c r="A402" s="716" t="s">
        <v>91</v>
      </c>
      <c r="B402" s="582" t="s">
        <v>301</v>
      </c>
      <c r="C402" s="722">
        <v>18.7</v>
      </c>
      <c r="D402" s="582" t="s">
        <v>302</v>
      </c>
      <c r="E402" s="719">
        <v>37.4</v>
      </c>
      <c r="F402" s="582" t="s">
        <v>304</v>
      </c>
      <c r="G402" s="719">
        <v>0</v>
      </c>
      <c r="H402" s="582" t="s">
        <v>313</v>
      </c>
      <c r="I402" s="930" t="s">
        <v>566</v>
      </c>
      <c r="J402" s="719">
        <v>65.97</v>
      </c>
    </row>
    <row r="403" spans="1:10" x14ac:dyDescent="0.25">
      <c r="A403"/>
      <c r="B403"/>
      <c r="C403"/>
      <c r="D403"/>
      <c r="E403"/>
      <c r="F403"/>
      <c r="G403"/>
    </row>
    <row r="404" spans="1:10" x14ac:dyDescent="0.25">
      <c r="A404"/>
      <c r="B404" s="1157" t="s">
        <v>1182</v>
      </c>
      <c r="C404" s="785" t="str">
        <f>FORMULARIO!H68</f>
        <v>ELIJA EL PAÍS          ▼</v>
      </c>
      <c r="D404" s="1155">
        <f>IFERROR(VLOOKUP(C404,$AQ$4:$AS$69,3,0),0)</f>
        <v>0</v>
      </c>
      <c r="E404" s="1167" t="str">
        <f>'LIQUIDACIÓN-GASTOS'!AF48</f>
        <v/>
      </c>
      <c r="F404" s="1155">
        <f>IFERROR(IF($A$390=$AX$3,D404*E404,0),0)</f>
        <v>0</v>
      </c>
      <c r="G404"/>
    </row>
    <row r="405" spans="1:10" x14ac:dyDescent="0.25">
      <c r="A405"/>
      <c r="B405" s="1157" t="s">
        <v>1182</v>
      </c>
      <c r="C405" s="785" t="str">
        <f>FORMULARIO!H143</f>
        <v>ELIJA EL PAÍS          ▼</v>
      </c>
      <c r="D405" s="1155">
        <f>IFERROR(VLOOKUP(C405,$AQ$4:$AS$69,3,0),0)</f>
        <v>0</v>
      </c>
      <c r="E405" s="1167" t="str">
        <f>'LIQUIDACIÓN-GASTOS'!AF59</f>
        <v/>
      </c>
      <c r="F405" s="1155">
        <f t="shared" ref="F405:F406" si="23">IFERROR(IF($A$390=$AX$3,D405*E405,0),0)</f>
        <v>0</v>
      </c>
      <c r="G405"/>
    </row>
    <row r="406" spans="1:10" x14ac:dyDescent="0.25">
      <c r="A406"/>
      <c r="B406" s="785" t="s">
        <v>1182</v>
      </c>
      <c r="C406" s="785" t="str">
        <f>FORMULARIO!H160</f>
        <v>ELIJA EL PAÍS          ▼</v>
      </c>
      <c r="D406" s="1155">
        <f>IFERROR(VLOOKUP(C406,$AQ$4:$AS$69,3,0),0)</f>
        <v>0</v>
      </c>
      <c r="E406" s="1167" t="str">
        <f>'LIQUIDACIÓN-GASTOS'!AF70</f>
        <v/>
      </c>
      <c r="F406" s="1155">
        <f t="shared" si="23"/>
        <v>0</v>
      </c>
      <c r="G406"/>
    </row>
    <row r="407" spans="1:10" x14ac:dyDescent="0.25">
      <c r="A407"/>
      <c r="B407"/>
      <c r="C407"/>
      <c r="D407"/>
      <c r="E407"/>
      <c r="F407"/>
      <c r="G407"/>
    </row>
    <row r="408" spans="1:10" x14ac:dyDescent="0.25">
      <c r="A408"/>
      <c r="B408">
        <f>IF(A390=AX3,"Según convocatoria del proyecto total de dietas alojamiento más manutención "&amp;TEXT(F404,"#.###,00 €"),0)</f>
        <v>0</v>
      </c>
      <c r="C408"/>
      <c r="D408"/>
      <c r="E408"/>
      <c r="F408"/>
      <c r="G408"/>
    </row>
    <row r="409" spans="1:10" x14ac:dyDescent="0.25">
      <c r="A409"/>
      <c r="B409"/>
      <c r="C409"/>
      <c r="D409"/>
      <c r="E409"/>
      <c r="F409"/>
      <c r="G409"/>
    </row>
    <row r="410" spans="1:10" x14ac:dyDescent="0.25">
      <c r="A410"/>
      <c r="B410"/>
      <c r="C410"/>
      <c r="D410"/>
      <c r="E410"/>
      <c r="F410"/>
      <c r="G410"/>
    </row>
    <row r="411" spans="1:10" x14ac:dyDescent="0.25">
      <c r="A411"/>
      <c r="B411"/>
      <c r="C411"/>
      <c r="D411"/>
      <c r="E411"/>
      <c r="F411"/>
      <c r="G411"/>
    </row>
    <row r="412" spans="1:10" x14ac:dyDescent="0.25">
      <c r="A412"/>
      <c r="B412"/>
      <c r="C412"/>
      <c r="D412"/>
      <c r="E412"/>
      <c r="F412"/>
      <c r="G412"/>
    </row>
    <row r="413" spans="1:10" x14ac:dyDescent="0.25">
      <c r="A413"/>
      <c r="B413"/>
      <c r="C413"/>
      <c r="D413"/>
      <c r="E413"/>
      <c r="F413"/>
      <c r="G413"/>
    </row>
    <row r="414" spans="1:10" x14ac:dyDescent="0.25">
      <c r="A414"/>
      <c r="B414"/>
      <c r="C414"/>
      <c r="D414"/>
      <c r="E414"/>
      <c r="F414"/>
      <c r="G414"/>
    </row>
    <row r="415" spans="1:10" x14ac:dyDescent="0.25">
      <c r="A415"/>
      <c r="B415"/>
      <c r="C415"/>
      <c r="D415"/>
      <c r="E415"/>
      <c r="F415"/>
      <c r="G415"/>
    </row>
    <row r="416" spans="1:10" x14ac:dyDescent="0.25">
      <c r="A416"/>
      <c r="B416"/>
      <c r="C416"/>
      <c r="D416"/>
      <c r="E416"/>
      <c r="F416"/>
      <c r="G416"/>
    </row>
    <row r="417" spans="1:7" x14ac:dyDescent="0.25">
      <c r="A417"/>
      <c r="B417"/>
      <c r="C417"/>
      <c r="D417"/>
      <c r="E417"/>
      <c r="F417"/>
      <c r="G417"/>
    </row>
    <row r="418" spans="1:7" x14ac:dyDescent="0.25">
      <c r="A418"/>
      <c r="B418"/>
      <c r="C418"/>
      <c r="D418"/>
      <c r="E418"/>
      <c r="F418"/>
      <c r="G418"/>
    </row>
    <row r="419" spans="1:7" x14ac:dyDescent="0.25">
      <c r="A419"/>
      <c r="B419"/>
      <c r="C419"/>
      <c r="D419"/>
      <c r="E419"/>
      <c r="F419"/>
      <c r="G419"/>
    </row>
    <row r="420" spans="1:7" x14ac:dyDescent="0.25">
      <c r="A420"/>
      <c r="B420"/>
      <c r="C420"/>
      <c r="D420"/>
      <c r="E420"/>
      <c r="F420"/>
      <c r="G420"/>
    </row>
    <row r="421" spans="1:7" x14ac:dyDescent="0.25">
      <c r="A421"/>
      <c r="B421"/>
      <c r="C421"/>
      <c r="D421"/>
      <c r="E421"/>
      <c r="F421"/>
      <c r="G421"/>
    </row>
    <row r="422" spans="1:7" x14ac:dyDescent="0.25">
      <c r="A422"/>
      <c r="B422"/>
      <c r="C422"/>
      <c r="D422"/>
      <c r="E422"/>
      <c r="F422"/>
      <c r="G422"/>
    </row>
    <row r="423" spans="1:7" x14ac:dyDescent="0.25">
      <c r="A423"/>
      <c r="B423"/>
      <c r="C423"/>
      <c r="D423"/>
      <c r="E423"/>
      <c r="F423"/>
      <c r="G423"/>
    </row>
    <row r="424" spans="1:7" x14ac:dyDescent="0.25">
      <c r="A424"/>
      <c r="B424"/>
      <c r="C424"/>
      <c r="D424"/>
      <c r="E424"/>
      <c r="F424"/>
      <c r="G424"/>
    </row>
    <row r="425" spans="1:7" x14ac:dyDescent="0.25">
      <c r="A425"/>
      <c r="B425"/>
      <c r="C425"/>
      <c r="D425"/>
      <c r="E425"/>
      <c r="F425"/>
      <c r="G425"/>
    </row>
    <row r="426" spans="1:7" x14ac:dyDescent="0.25">
      <c r="A426"/>
      <c r="B426"/>
      <c r="C426"/>
      <c r="D426"/>
      <c r="E426"/>
      <c r="F426"/>
      <c r="G426"/>
    </row>
    <row r="427" spans="1:7" x14ac:dyDescent="0.25">
      <c r="A427"/>
      <c r="B427"/>
      <c r="C427"/>
      <c r="D427"/>
      <c r="E427"/>
      <c r="F427"/>
      <c r="G427"/>
    </row>
    <row r="428" spans="1:7" x14ac:dyDescent="0.25">
      <c r="A428"/>
      <c r="B428"/>
      <c r="C428"/>
      <c r="D428"/>
      <c r="E428"/>
      <c r="F428"/>
      <c r="G428"/>
    </row>
    <row r="429" spans="1:7" x14ac:dyDescent="0.25">
      <c r="A429"/>
      <c r="B429"/>
      <c r="C429"/>
      <c r="D429"/>
      <c r="E429"/>
      <c r="F429"/>
      <c r="G429"/>
    </row>
    <row r="430" spans="1:7" x14ac:dyDescent="0.25">
      <c r="A430"/>
      <c r="B430"/>
      <c r="C430"/>
      <c r="D430"/>
      <c r="E430"/>
      <c r="F430"/>
      <c r="G430"/>
    </row>
    <row r="431" spans="1:7" x14ac:dyDescent="0.25">
      <c r="A431"/>
      <c r="B431"/>
      <c r="C431"/>
      <c r="D431"/>
      <c r="E431"/>
      <c r="F431"/>
      <c r="G431"/>
    </row>
    <row r="432" spans="1:7" x14ac:dyDescent="0.25">
      <c r="A432"/>
      <c r="B432"/>
      <c r="C432"/>
      <c r="D432"/>
      <c r="E432"/>
      <c r="F432"/>
      <c r="G432"/>
    </row>
    <row r="433" spans="1:7" x14ac:dyDescent="0.25">
      <c r="A433"/>
      <c r="B433"/>
      <c r="C433"/>
      <c r="D433"/>
      <c r="E433"/>
      <c r="F433"/>
      <c r="G433"/>
    </row>
    <row r="434" spans="1:7" x14ac:dyDescent="0.25">
      <c r="A434"/>
      <c r="B434"/>
      <c r="C434"/>
      <c r="D434"/>
      <c r="E434"/>
      <c r="F434"/>
      <c r="G434"/>
    </row>
    <row r="435" spans="1:7" x14ac:dyDescent="0.25">
      <c r="A435"/>
      <c r="B435"/>
      <c r="C435"/>
      <c r="D435"/>
      <c r="E435"/>
      <c r="F435"/>
      <c r="G435"/>
    </row>
    <row r="436" spans="1:7" x14ac:dyDescent="0.25">
      <c r="A436"/>
      <c r="B436"/>
      <c r="C436"/>
      <c r="D436"/>
      <c r="E436"/>
      <c r="F436"/>
      <c r="G436"/>
    </row>
    <row r="437" spans="1:7" x14ac:dyDescent="0.25">
      <c r="A437"/>
      <c r="B437"/>
      <c r="C437"/>
      <c r="D437"/>
      <c r="E437"/>
      <c r="F437"/>
      <c r="G437"/>
    </row>
    <row r="438" spans="1:7" x14ac:dyDescent="0.25">
      <c r="A438"/>
      <c r="B438"/>
      <c r="C438"/>
      <c r="D438"/>
      <c r="E438"/>
      <c r="F438"/>
      <c r="G438"/>
    </row>
    <row r="439" spans="1:7" x14ac:dyDescent="0.25">
      <c r="A439"/>
      <c r="B439"/>
      <c r="C439"/>
      <c r="D439"/>
      <c r="E439"/>
      <c r="F439"/>
      <c r="G439"/>
    </row>
    <row r="440" spans="1:7" x14ac:dyDescent="0.25">
      <c r="A440"/>
      <c r="B440"/>
      <c r="C440"/>
      <c r="D440"/>
      <c r="E440"/>
      <c r="F440"/>
      <c r="G440"/>
    </row>
    <row r="441" spans="1:7" x14ac:dyDescent="0.25">
      <c r="A441"/>
      <c r="B441"/>
      <c r="C441"/>
      <c r="D441"/>
      <c r="E441"/>
      <c r="F441"/>
      <c r="G441"/>
    </row>
    <row r="442" spans="1:7" x14ac:dyDescent="0.25">
      <c r="A442"/>
      <c r="B442"/>
      <c r="C442"/>
      <c r="D442"/>
      <c r="E442"/>
      <c r="F442"/>
      <c r="G442"/>
    </row>
    <row r="443" spans="1:7" x14ac:dyDescent="0.25">
      <c r="A443"/>
      <c r="B443"/>
      <c r="C443"/>
      <c r="D443"/>
      <c r="E443"/>
      <c r="F443"/>
      <c r="G443"/>
    </row>
    <row r="444" spans="1:7" x14ac:dyDescent="0.25">
      <c r="A444"/>
      <c r="B444"/>
      <c r="C444"/>
      <c r="D444"/>
      <c r="E444"/>
      <c r="F444"/>
      <c r="G444"/>
    </row>
    <row r="445" spans="1:7" x14ac:dyDescent="0.25">
      <c r="A445"/>
      <c r="B445"/>
      <c r="C445"/>
      <c r="D445"/>
      <c r="E445"/>
      <c r="F445"/>
      <c r="G445"/>
    </row>
    <row r="446" spans="1:7" x14ac:dyDescent="0.25">
      <c r="A446"/>
      <c r="B446"/>
      <c r="C446"/>
      <c r="D446"/>
      <c r="E446"/>
      <c r="F446"/>
      <c r="G446"/>
    </row>
    <row r="447" spans="1:7" x14ac:dyDescent="0.25">
      <c r="A447"/>
      <c r="B447"/>
      <c r="C447"/>
      <c r="D447"/>
      <c r="E447"/>
      <c r="F447"/>
      <c r="G447"/>
    </row>
    <row r="448" spans="1:7" x14ac:dyDescent="0.25">
      <c r="A448"/>
      <c r="B448"/>
      <c r="C448"/>
      <c r="D448"/>
      <c r="E448"/>
      <c r="F448"/>
      <c r="G448"/>
    </row>
    <row r="449" spans="1:7" x14ac:dyDescent="0.25">
      <c r="A449"/>
      <c r="B449"/>
      <c r="C449"/>
      <c r="D449"/>
      <c r="E449"/>
      <c r="F449"/>
      <c r="G449"/>
    </row>
    <row r="450" spans="1:7" x14ac:dyDescent="0.25">
      <c r="A450"/>
      <c r="B450"/>
      <c r="C450"/>
      <c r="D450"/>
      <c r="E450"/>
      <c r="F450"/>
      <c r="G450"/>
    </row>
    <row r="451" spans="1:7" x14ac:dyDescent="0.25">
      <c r="A451"/>
      <c r="B451"/>
      <c r="C451"/>
      <c r="D451"/>
      <c r="E451"/>
      <c r="F451"/>
      <c r="G451"/>
    </row>
    <row r="452" spans="1:7" x14ac:dyDescent="0.25">
      <c r="A452"/>
      <c r="B452"/>
      <c r="C452"/>
      <c r="D452"/>
      <c r="E452"/>
      <c r="F452"/>
      <c r="G452"/>
    </row>
    <row r="453" spans="1:7" x14ac:dyDescent="0.25">
      <c r="A453"/>
      <c r="B453"/>
      <c r="C453"/>
      <c r="D453"/>
      <c r="E453"/>
      <c r="F453"/>
      <c r="G453"/>
    </row>
    <row r="454" spans="1:7" x14ac:dyDescent="0.25">
      <c r="A454"/>
      <c r="B454"/>
      <c r="C454"/>
      <c r="D454"/>
      <c r="E454"/>
      <c r="F454"/>
      <c r="G454"/>
    </row>
    <row r="455" spans="1:7" x14ac:dyDescent="0.25">
      <c r="A455"/>
      <c r="B455"/>
      <c r="C455"/>
      <c r="D455"/>
      <c r="E455"/>
      <c r="F455"/>
      <c r="G455"/>
    </row>
    <row r="456" spans="1:7" x14ac:dyDescent="0.25">
      <c r="A456"/>
      <c r="B456"/>
      <c r="C456"/>
      <c r="D456"/>
      <c r="E456"/>
      <c r="F456"/>
      <c r="G456"/>
    </row>
    <row r="457" spans="1:7" x14ac:dyDescent="0.25">
      <c r="A457"/>
      <c r="B457"/>
      <c r="C457"/>
      <c r="D457"/>
      <c r="E457"/>
      <c r="F457"/>
      <c r="G457"/>
    </row>
    <row r="458" spans="1:7" x14ac:dyDescent="0.25">
      <c r="A458"/>
      <c r="B458"/>
      <c r="C458"/>
      <c r="D458"/>
      <c r="E458"/>
      <c r="F458"/>
      <c r="G458"/>
    </row>
    <row r="459" spans="1:7" x14ac:dyDescent="0.25">
      <c r="A459"/>
      <c r="B459"/>
      <c r="C459"/>
      <c r="D459"/>
      <c r="E459"/>
      <c r="F459"/>
      <c r="G459"/>
    </row>
    <row r="460" spans="1:7" x14ac:dyDescent="0.25">
      <c r="A460"/>
      <c r="B460"/>
      <c r="C460"/>
      <c r="D460"/>
      <c r="E460"/>
      <c r="F460"/>
      <c r="G460"/>
    </row>
    <row r="461" spans="1:7" x14ac:dyDescent="0.25">
      <c r="A461"/>
      <c r="B461"/>
      <c r="C461"/>
      <c r="D461"/>
      <c r="E461"/>
      <c r="F461"/>
      <c r="G461"/>
    </row>
    <row r="462" spans="1:7" x14ac:dyDescent="0.25">
      <c r="A462"/>
      <c r="B462"/>
      <c r="C462"/>
      <c r="D462"/>
      <c r="E462"/>
      <c r="F462"/>
      <c r="G462"/>
    </row>
    <row r="463" spans="1:7" x14ac:dyDescent="0.25">
      <c r="A463"/>
      <c r="B463"/>
      <c r="C463"/>
      <c r="D463"/>
      <c r="E463"/>
      <c r="F463"/>
      <c r="G463"/>
    </row>
    <row r="464" spans="1:7" x14ac:dyDescent="0.25">
      <c r="A464"/>
      <c r="B464"/>
      <c r="C464"/>
      <c r="D464"/>
      <c r="E464"/>
      <c r="F464"/>
      <c r="G464"/>
    </row>
    <row r="465" spans="1:7" x14ac:dyDescent="0.25">
      <c r="A465"/>
      <c r="B465"/>
      <c r="C465"/>
      <c r="D465"/>
      <c r="E465"/>
      <c r="F465"/>
      <c r="G465"/>
    </row>
    <row r="466" spans="1:7" x14ac:dyDescent="0.25">
      <c r="A466"/>
      <c r="B466"/>
      <c r="C466"/>
      <c r="D466"/>
      <c r="E466"/>
      <c r="F466"/>
      <c r="G466"/>
    </row>
    <row r="467" spans="1:7" x14ac:dyDescent="0.25">
      <c r="A467"/>
      <c r="B467"/>
      <c r="C467"/>
      <c r="D467"/>
      <c r="E467"/>
      <c r="F467"/>
      <c r="G467"/>
    </row>
    <row r="468" spans="1:7" x14ac:dyDescent="0.25">
      <c r="A468"/>
      <c r="B468"/>
      <c r="C468"/>
      <c r="D468"/>
      <c r="E468"/>
      <c r="F468"/>
      <c r="G468"/>
    </row>
    <row r="469" spans="1:7" x14ac:dyDescent="0.25">
      <c r="A469"/>
      <c r="B469"/>
      <c r="C469"/>
      <c r="D469"/>
      <c r="E469"/>
      <c r="F469"/>
      <c r="G469"/>
    </row>
    <row r="470" spans="1:7" x14ac:dyDescent="0.25">
      <c r="A470"/>
      <c r="B470"/>
      <c r="C470"/>
      <c r="D470"/>
      <c r="E470"/>
      <c r="F470"/>
      <c r="G470"/>
    </row>
    <row r="471" spans="1:7" x14ac:dyDescent="0.25">
      <c r="A471"/>
      <c r="B471"/>
      <c r="C471"/>
      <c r="D471"/>
      <c r="E471"/>
      <c r="F471"/>
      <c r="G471"/>
    </row>
    <row r="472" spans="1:7" x14ac:dyDescent="0.25">
      <c r="A472"/>
      <c r="B472"/>
      <c r="C472"/>
      <c r="D472"/>
      <c r="E472"/>
      <c r="F472"/>
      <c r="G472"/>
    </row>
    <row r="473" spans="1:7" x14ac:dyDescent="0.25">
      <c r="A473"/>
      <c r="B473"/>
      <c r="C473"/>
      <c r="D473"/>
      <c r="E473"/>
      <c r="F473"/>
      <c r="G473"/>
    </row>
    <row r="474" spans="1:7" x14ac:dyDescent="0.25">
      <c r="A474"/>
      <c r="B474"/>
      <c r="C474"/>
      <c r="D474"/>
      <c r="E474"/>
      <c r="F474"/>
      <c r="G474"/>
    </row>
    <row r="475" spans="1:7" x14ac:dyDescent="0.25">
      <c r="A475"/>
      <c r="B475"/>
      <c r="C475"/>
      <c r="D475"/>
      <c r="E475"/>
      <c r="F475"/>
      <c r="G475"/>
    </row>
    <row r="476" spans="1:7" x14ac:dyDescent="0.25">
      <c r="A476"/>
      <c r="B476"/>
      <c r="C476"/>
      <c r="D476"/>
      <c r="E476"/>
      <c r="F476"/>
      <c r="G476"/>
    </row>
    <row r="477" spans="1:7" x14ac:dyDescent="0.25">
      <c r="A477"/>
      <c r="B477"/>
      <c r="C477"/>
      <c r="D477"/>
      <c r="E477"/>
      <c r="F477"/>
      <c r="G477"/>
    </row>
    <row r="478" spans="1:7" x14ac:dyDescent="0.25">
      <c r="A478"/>
      <c r="B478"/>
      <c r="C478"/>
      <c r="D478"/>
      <c r="E478"/>
      <c r="F478"/>
      <c r="G478"/>
    </row>
    <row r="479" spans="1:7" x14ac:dyDescent="0.25">
      <c r="A479"/>
      <c r="B479"/>
      <c r="C479"/>
      <c r="D479"/>
      <c r="E479"/>
      <c r="F479"/>
      <c r="G479"/>
    </row>
    <row r="480" spans="1:7" x14ac:dyDescent="0.25">
      <c r="A480"/>
      <c r="B480"/>
      <c r="C480"/>
      <c r="D480"/>
      <c r="E480"/>
      <c r="F480"/>
      <c r="G480"/>
    </row>
    <row r="481" spans="1:7" x14ac:dyDescent="0.25">
      <c r="A481"/>
      <c r="B481"/>
      <c r="C481"/>
      <c r="D481"/>
      <c r="E481"/>
      <c r="F481"/>
      <c r="G481"/>
    </row>
    <row r="482" spans="1:7" x14ac:dyDescent="0.25">
      <c r="A482"/>
      <c r="B482"/>
      <c r="C482"/>
      <c r="D482"/>
      <c r="E482"/>
      <c r="F482"/>
      <c r="G482"/>
    </row>
    <row r="483" spans="1:7" x14ac:dyDescent="0.25">
      <c r="A483"/>
      <c r="B483"/>
      <c r="C483"/>
      <c r="D483"/>
      <c r="E483"/>
      <c r="F483"/>
      <c r="G483"/>
    </row>
    <row r="484" spans="1:7" x14ac:dyDescent="0.25">
      <c r="A484"/>
      <c r="B484"/>
      <c r="C484"/>
      <c r="D484"/>
      <c r="E484"/>
      <c r="F484"/>
      <c r="G484"/>
    </row>
    <row r="485" spans="1:7" x14ac:dyDescent="0.25">
      <c r="A485"/>
      <c r="B485"/>
      <c r="C485"/>
      <c r="D485"/>
      <c r="E485"/>
      <c r="F485"/>
      <c r="G485"/>
    </row>
    <row r="486" spans="1:7" x14ac:dyDescent="0.25">
      <c r="A486"/>
      <c r="B486"/>
      <c r="C486"/>
      <c r="D486"/>
      <c r="E486"/>
      <c r="F486"/>
      <c r="G486"/>
    </row>
    <row r="487" spans="1:7" x14ac:dyDescent="0.25">
      <c r="A487"/>
      <c r="B487"/>
      <c r="C487"/>
      <c r="D487"/>
      <c r="E487"/>
      <c r="F487"/>
      <c r="G487"/>
    </row>
    <row r="488" spans="1:7" x14ac:dyDescent="0.25">
      <c r="A488"/>
      <c r="B488"/>
      <c r="C488"/>
      <c r="D488"/>
      <c r="E488"/>
      <c r="F488"/>
      <c r="G488"/>
    </row>
    <row r="489" spans="1:7" x14ac:dyDescent="0.25">
      <c r="A489"/>
      <c r="B489"/>
      <c r="C489"/>
      <c r="D489"/>
      <c r="E489"/>
      <c r="F489"/>
      <c r="G489"/>
    </row>
    <row r="490" spans="1:7" x14ac:dyDescent="0.25">
      <c r="A490"/>
      <c r="B490"/>
      <c r="C490"/>
      <c r="D490"/>
      <c r="E490"/>
      <c r="F490"/>
      <c r="G490"/>
    </row>
    <row r="491" spans="1:7" x14ac:dyDescent="0.25">
      <c r="A491"/>
      <c r="B491"/>
      <c r="C491"/>
      <c r="D491"/>
      <c r="E491"/>
      <c r="F491"/>
      <c r="G491"/>
    </row>
    <row r="492" spans="1:7" x14ac:dyDescent="0.25">
      <c r="A492"/>
      <c r="B492"/>
      <c r="C492"/>
      <c r="D492"/>
      <c r="E492"/>
      <c r="F492"/>
      <c r="G492"/>
    </row>
    <row r="493" spans="1:7" x14ac:dyDescent="0.25">
      <c r="A493"/>
      <c r="B493"/>
      <c r="C493"/>
      <c r="D493"/>
      <c r="E493"/>
      <c r="F493"/>
      <c r="G493"/>
    </row>
    <row r="494" spans="1:7" x14ac:dyDescent="0.25">
      <c r="A494"/>
      <c r="B494"/>
      <c r="C494"/>
      <c r="D494"/>
      <c r="E494"/>
      <c r="F494"/>
      <c r="G494"/>
    </row>
    <row r="495" spans="1:7" x14ac:dyDescent="0.25">
      <c r="A495"/>
      <c r="B495"/>
      <c r="C495"/>
      <c r="D495"/>
      <c r="E495"/>
      <c r="F495"/>
      <c r="G495"/>
    </row>
    <row r="496" spans="1:7" x14ac:dyDescent="0.25">
      <c r="A496"/>
      <c r="B496"/>
      <c r="C496"/>
      <c r="D496"/>
      <c r="E496"/>
      <c r="F496"/>
      <c r="G496"/>
    </row>
    <row r="497" spans="1:7" x14ac:dyDescent="0.25">
      <c r="A497"/>
      <c r="B497"/>
      <c r="C497"/>
      <c r="D497"/>
      <c r="E497"/>
      <c r="F497"/>
      <c r="G497"/>
    </row>
    <row r="498" spans="1:7" x14ac:dyDescent="0.25">
      <c r="A498"/>
      <c r="B498"/>
      <c r="C498"/>
      <c r="D498"/>
      <c r="E498"/>
      <c r="F498"/>
      <c r="G498"/>
    </row>
    <row r="499" spans="1:7" x14ac:dyDescent="0.25">
      <c r="A499"/>
      <c r="B499"/>
      <c r="C499"/>
      <c r="D499"/>
      <c r="E499"/>
      <c r="F499"/>
      <c r="G499"/>
    </row>
    <row r="500" spans="1:7" x14ac:dyDescent="0.25">
      <c r="A500"/>
      <c r="B500"/>
      <c r="C500"/>
      <c r="D500"/>
      <c r="E500"/>
      <c r="F500"/>
      <c r="G500"/>
    </row>
    <row r="501" spans="1:7" x14ac:dyDescent="0.25">
      <c r="A501"/>
      <c r="B501"/>
      <c r="C501"/>
      <c r="D501"/>
      <c r="E501"/>
      <c r="F501"/>
      <c r="G501"/>
    </row>
    <row r="502" spans="1:7" x14ac:dyDescent="0.25">
      <c r="A502"/>
      <c r="B502"/>
      <c r="C502"/>
      <c r="D502"/>
      <c r="E502"/>
      <c r="F502"/>
      <c r="G502"/>
    </row>
    <row r="503" spans="1:7" x14ac:dyDescent="0.25">
      <c r="A503"/>
      <c r="B503"/>
      <c r="C503"/>
      <c r="D503"/>
      <c r="E503"/>
      <c r="F503"/>
      <c r="G503"/>
    </row>
    <row r="504" spans="1:7" x14ac:dyDescent="0.25">
      <c r="A504"/>
      <c r="B504"/>
      <c r="C504"/>
      <c r="D504"/>
      <c r="E504"/>
      <c r="F504"/>
      <c r="G504"/>
    </row>
    <row r="505" spans="1:7" x14ac:dyDescent="0.25">
      <c r="A505"/>
      <c r="B505"/>
      <c r="C505"/>
      <c r="D505"/>
      <c r="E505"/>
      <c r="F505"/>
      <c r="G505"/>
    </row>
    <row r="506" spans="1:7" x14ac:dyDescent="0.25">
      <c r="A506"/>
      <c r="B506"/>
      <c r="C506"/>
      <c r="D506"/>
      <c r="E506"/>
      <c r="F506"/>
      <c r="G506"/>
    </row>
    <row r="507" spans="1:7" x14ac:dyDescent="0.25">
      <c r="A507"/>
      <c r="B507"/>
      <c r="C507"/>
      <c r="D507"/>
      <c r="E507"/>
      <c r="F507"/>
      <c r="G507"/>
    </row>
    <row r="508" spans="1:7" x14ac:dyDescent="0.25">
      <c r="A508"/>
      <c r="B508"/>
      <c r="C508"/>
      <c r="D508"/>
      <c r="E508"/>
      <c r="F508"/>
      <c r="G508"/>
    </row>
    <row r="509" spans="1:7" x14ac:dyDescent="0.25">
      <c r="A509"/>
      <c r="B509"/>
      <c r="C509"/>
      <c r="D509"/>
      <c r="E509"/>
      <c r="F509"/>
      <c r="G509"/>
    </row>
    <row r="510" spans="1:7" x14ac:dyDescent="0.25">
      <c r="A510"/>
      <c r="B510"/>
      <c r="C510"/>
      <c r="D510"/>
      <c r="E510"/>
      <c r="F510"/>
      <c r="G510"/>
    </row>
    <row r="511" spans="1:7" x14ac:dyDescent="0.25">
      <c r="A511"/>
      <c r="B511"/>
      <c r="C511"/>
      <c r="D511"/>
      <c r="E511"/>
      <c r="F511"/>
      <c r="G511"/>
    </row>
    <row r="512" spans="1:7" x14ac:dyDescent="0.25">
      <c r="A512"/>
      <c r="B512"/>
      <c r="C512"/>
      <c r="D512"/>
      <c r="E512"/>
      <c r="F512"/>
      <c r="G512"/>
    </row>
    <row r="513" spans="1:7" x14ac:dyDescent="0.25">
      <c r="A513"/>
      <c r="B513"/>
      <c r="C513"/>
      <c r="D513"/>
      <c r="E513"/>
      <c r="F513"/>
      <c r="G513"/>
    </row>
    <row r="514" spans="1:7" x14ac:dyDescent="0.25">
      <c r="A514"/>
      <c r="B514"/>
      <c r="C514"/>
      <c r="D514"/>
      <c r="E514"/>
      <c r="F514"/>
      <c r="G514"/>
    </row>
    <row r="515" spans="1:7" x14ac:dyDescent="0.25">
      <c r="A515"/>
      <c r="B515"/>
      <c r="C515"/>
      <c r="D515"/>
      <c r="E515"/>
      <c r="F515"/>
      <c r="G515"/>
    </row>
    <row r="516" spans="1:7" x14ac:dyDescent="0.25">
      <c r="A516"/>
      <c r="B516"/>
      <c r="C516"/>
      <c r="D516"/>
      <c r="E516"/>
      <c r="F516"/>
      <c r="G516"/>
    </row>
    <row r="517" spans="1:7" x14ac:dyDescent="0.25">
      <c r="A517"/>
      <c r="B517"/>
      <c r="C517"/>
      <c r="D517"/>
      <c r="E517"/>
      <c r="F517"/>
      <c r="G517"/>
    </row>
    <row r="518" spans="1:7" x14ac:dyDescent="0.25">
      <c r="A518"/>
      <c r="B518"/>
      <c r="C518"/>
      <c r="D518"/>
      <c r="E518"/>
      <c r="F518"/>
      <c r="G518"/>
    </row>
    <row r="519" spans="1:7" x14ac:dyDescent="0.25">
      <c r="A519"/>
      <c r="B519"/>
      <c r="C519"/>
      <c r="D519"/>
      <c r="E519"/>
      <c r="F519"/>
      <c r="G519"/>
    </row>
    <row r="520" spans="1:7" x14ac:dyDescent="0.25">
      <c r="A520"/>
      <c r="B520"/>
      <c r="C520"/>
      <c r="D520"/>
      <c r="E520"/>
      <c r="F520"/>
      <c r="G520"/>
    </row>
    <row r="521" spans="1:7" x14ac:dyDescent="0.25">
      <c r="A521"/>
      <c r="B521"/>
      <c r="C521"/>
      <c r="D521"/>
      <c r="E521"/>
      <c r="F521"/>
      <c r="G521"/>
    </row>
    <row r="522" spans="1:7" x14ac:dyDescent="0.25">
      <c r="A522"/>
      <c r="B522"/>
      <c r="C522"/>
      <c r="D522"/>
      <c r="E522"/>
      <c r="F522"/>
      <c r="G522"/>
    </row>
    <row r="523" spans="1:7" x14ac:dyDescent="0.25">
      <c r="A523"/>
      <c r="B523"/>
      <c r="C523"/>
      <c r="D523"/>
      <c r="E523"/>
      <c r="F523"/>
      <c r="G523"/>
    </row>
    <row r="524" spans="1:7" x14ac:dyDescent="0.25">
      <c r="A524"/>
      <c r="B524"/>
      <c r="C524"/>
      <c r="D524"/>
      <c r="E524"/>
      <c r="F524"/>
      <c r="G524"/>
    </row>
    <row r="525" spans="1:7" x14ac:dyDescent="0.25">
      <c r="A525"/>
      <c r="B525"/>
      <c r="C525"/>
      <c r="D525"/>
      <c r="E525"/>
      <c r="F525"/>
      <c r="G525"/>
    </row>
    <row r="526" spans="1:7" x14ac:dyDescent="0.25">
      <c r="A526"/>
      <c r="B526"/>
      <c r="C526"/>
      <c r="D526"/>
      <c r="E526"/>
      <c r="F526"/>
      <c r="G526"/>
    </row>
    <row r="527" spans="1:7" x14ac:dyDescent="0.25">
      <c r="A527"/>
      <c r="B527"/>
      <c r="C527"/>
      <c r="D527"/>
      <c r="E527"/>
      <c r="F527"/>
      <c r="G527"/>
    </row>
    <row r="528" spans="1:7" x14ac:dyDescent="0.25">
      <c r="A528"/>
      <c r="B528"/>
      <c r="C528"/>
      <c r="D528"/>
      <c r="E528"/>
      <c r="F528"/>
      <c r="G528"/>
    </row>
    <row r="529" spans="1:7" x14ac:dyDescent="0.25">
      <c r="A529"/>
      <c r="B529"/>
      <c r="C529"/>
      <c r="D529"/>
      <c r="E529"/>
      <c r="F529"/>
      <c r="G529"/>
    </row>
    <row r="530" spans="1:7" x14ac:dyDescent="0.25">
      <c r="A530"/>
      <c r="B530"/>
      <c r="C530"/>
      <c r="D530"/>
      <c r="E530"/>
      <c r="F530"/>
      <c r="G530"/>
    </row>
    <row r="531" spans="1:7" x14ac:dyDescent="0.25">
      <c r="A531"/>
      <c r="B531"/>
      <c r="C531"/>
      <c r="D531"/>
      <c r="E531"/>
      <c r="F531"/>
      <c r="G531"/>
    </row>
    <row r="532" spans="1:7" x14ac:dyDescent="0.25">
      <c r="A532"/>
      <c r="B532"/>
      <c r="C532"/>
      <c r="D532"/>
      <c r="E532"/>
      <c r="F532"/>
      <c r="G532"/>
    </row>
    <row r="533" spans="1:7" x14ac:dyDescent="0.25">
      <c r="A533"/>
      <c r="B533"/>
      <c r="C533"/>
      <c r="D533"/>
      <c r="E533"/>
      <c r="F533"/>
      <c r="G533"/>
    </row>
    <row r="534" spans="1:7" x14ac:dyDescent="0.25">
      <c r="A534"/>
      <c r="B534"/>
      <c r="C534"/>
      <c r="D534"/>
      <c r="E534"/>
      <c r="F534"/>
      <c r="G534"/>
    </row>
    <row r="535" spans="1:7" x14ac:dyDescent="0.25">
      <c r="A535"/>
      <c r="B535"/>
      <c r="C535"/>
      <c r="D535"/>
      <c r="E535"/>
      <c r="F535"/>
      <c r="G535"/>
    </row>
    <row r="536" spans="1:7" x14ac:dyDescent="0.25">
      <c r="A536"/>
      <c r="B536"/>
      <c r="C536"/>
      <c r="D536"/>
      <c r="E536"/>
      <c r="F536"/>
      <c r="G536"/>
    </row>
    <row r="537" spans="1:7" x14ac:dyDescent="0.25">
      <c r="A537"/>
      <c r="B537"/>
      <c r="C537"/>
      <c r="D537"/>
      <c r="E537"/>
      <c r="F537"/>
      <c r="G537"/>
    </row>
    <row r="538" spans="1:7" x14ac:dyDescent="0.25">
      <c r="A538"/>
      <c r="B538"/>
      <c r="C538"/>
      <c r="D538"/>
      <c r="E538"/>
      <c r="F538"/>
      <c r="G538"/>
    </row>
    <row r="539" spans="1:7" x14ac:dyDescent="0.25">
      <c r="A539"/>
      <c r="B539"/>
      <c r="C539"/>
      <c r="D539"/>
      <c r="E539"/>
      <c r="F539"/>
      <c r="G539"/>
    </row>
    <row r="540" spans="1:7" x14ac:dyDescent="0.25">
      <c r="A540"/>
      <c r="B540"/>
      <c r="C540"/>
      <c r="D540"/>
      <c r="E540"/>
      <c r="F540"/>
      <c r="G540"/>
    </row>
    <row r="541" spans="1:7" x14ac:dyDescent="0.25">
      <c r="A541"/>
      <c r="B541"/>
      <c r="C541"/>
      <c r="D541"/>
      <c r="E541"/>
      <c r="F541"/>
      <c r="G541"/>
    </row>
    <row r="542" spans="1:7" x14ac:dyDescent="0.25">
      <c r="A542"/>
      <c r="B542"/>
      <c r="C542"/>
      <c r="D542"/>
      <c r="E542"/>
      <c r="F542"/>
      <c r="G542"/>
    </row>
    <row r="543" spans="1:7" x14ac:dyDescent="0.25">
      <c r="A543"/>
      <c r="B543"/>
      <c r="C543"/>
      <c r="D543"/>
      <c r="E543"/>
      <c r="F543"/>
      <c r="G543"/>
    </row>
    <row r="544" spans="1:7" x14ac:dyDescent="0.25">
      <c r="A544"/>
      <c r="B544"/>
      <c r="C544"/>
      <c r="D544"/>
      <c r="E544"/>
      <c r="F544"/>
      <c r="G544"/>
    </row>
    <row r="545" spans="1:7" x14ac:dyDescent="0.25">
      <c r="A545"/>
      <c r="B545"/>
      <c r="C545"/>
      <c r="D545"/>
      <c r="E545"/>
      <c r="F545"/>
      <c r="G545"/>
    </row>
    <row r="546" spans="1:7" x14ac:dyDescent="0.25">
      <c r="A546"/>
      <c r="B546"/>
      <c r="C546"/>
      <c r="D546"/>
      <c r="E546"/>
      <c r="F546"/>
      <c r="G546"/>
    </row>
    <row r="547" spans="1:7" x14ac:dyDescent="0.25">
      <c r="A547"/>
      <c r="B547"/>
      <c r="C547"/>
      <c r="D547"/>
      <c r="E547"/>
      <c r="F547"/>
      <c r="G547"/>
    </row>
    <row r="548" spans="1:7" x14ac:dyDescent="0.25">
      <c r="A548"/>
      <c r="B548"/>
      <c r="C548"/>
      <c r="D548"/>
      <c r="E548"/>
      <c r="F548"/>
      <c r="G548"/>
    </row>
    <row r="549" spans="1:7" x14ac:dyDescent="0.25">
      <c r="A549"/>
      <c r="B549"/>
      <c r="C549"/>
      <c r="D549"/>
      <c r="E549"/>
      <c r="F549"/>
      <c r="G549"/>
    </row>
    <row r="550" spans="1:7" x14ac:dyDescent="0.25">
      <c r="A550"/>
      <c r="B550"/>
      <c r="C550"/>
      <c r="D550"/>
      <c r="E550"/>
      <c r="F550"/>
      <c r="G550"/>
    </row>
    <row r="551" spans="1:7" x14ac:dyDescent="0.25">
      <c r="A551"/>
      <c r="B551"/>
      <c r="C551"/>
      <c r="D551"/>
      <c r="E551"/>
      <c r="F551"/>
      <c r="G551"/>
    </row>
    <row r="552" spans="1:7" x14ac:dyDescent="0.25">
      <c r="A552"/>
      <c r="B552"/>
      <c r="C552"/>
      <c r="D552"/>
      <c r="E552"/>
      <c r="F552"/>
      <c r="G552"/>
    </row>
    <row r="553" spans="1:7" x14ac:dyDescent="0.25">
      <c r="A553"/>
      <c r="B553"/>
      <c r="C553"/>
      <c r="D553"/>
      <c r="E553"/>
      <c r="F553"/>
      <c r="G553"/>
    </row>
    <row r="554" spans="1:7" x14ac:dyDescent="0.25">
      <c r="A554"/>
      <c r="B554"/>
      <c r="C554"/>
      <c r="D554"/>
      <c r="E554"/>
      <c r="F554"/>
      <c r="G554"/>
    </row>
    <row r="555" spans="1:7" x14ac:dyDescent="0.25">
      <c r="A555"/>
      <c r="B555"/>
      <c r="C555"/>
      <c r="D555"/>
      <c r="E555"/>
      <c r="F555"/>
      <c r="G555"/>
    </row>
    <row r="556" spans="1:7" x14ac:dyDescent="0.25">
      <c r="A556"/>
      <c r="B556"/>
      <c r="C556"/>
      <c r="D556"/>
      <c r="E556"/>
      <c r="F556"/>
      <c r="G556"/>
    </row>
    <row r="557" spans="1:7" x14ac:dyDescent="0.25">
      <c r="A557"/>
      <c r="B557"/>
      <c r="C557"/>
      <c r="D557"/>
      <c r="E557"/>
      <c r="F557"/>
      <c r="G557"/>
    </row>
    <row r="558" spans="1:7" x14ac:dyDescent="0.25">
      <c r="A558"/>
      <c r="B558"/>
      <c r="C558"/>
      <c r="D558"/>
      <c r="E558"/>
      <c r="F558"/>
      <c r="G558"/>
    </row>
    <row r="559" spans="1:7" x14ac:dyDescent="0.25">
      <c r="A559"/>
      <c r="B559"/>
      <c r="C559"/>
      <c r="D559"/>
      <c r="E559"/>
      <c r="F559"/>
      <c r="G559"/>
    </row>
    <row r="560" spans="1:7" x14ac:dyDescent="0.25">
      <c r="A560"/>
      <c r="B560"/>
      <c r="C560"/>
      <c r="D560"/>
      <c r="E560"/>
      <c r="F560"/>
      <c r="G560"/>
    </row>
    <row r="561" spans="1:9" x14ac:dyDescent="0.25">
      <c r="A561"/>
      <c r="B561"/>
      <c r="C561"/>
      <c r="D561"/>
      <c r="E561"/>
      <c r="F561"/>
      <c r="G561"/>
    </row>
    <row r="562" spans="1:9" x14ac:dyDescent="0.25">
      <c r="A562"/>
      <c r="B562"/>
      <c r="C562"/>
      <c r="D562"/>
      <c r="E562"/>
      <c r="F562"/>
      <c r="G562"/>
    </row>
    <row r="563" spans="1:9" x14ac:dyDescent="0.25">
      <c r="A563"/>
      <c r="B563"/>
      <c r="C563"/>
      <c r="D563"/>
      <c r="E563"/>
      <c r="F563"/>
      <c r="G563"/>
    </row>
    <row r="564" spans="1:9" x14ac:dyDescent="0.25">
      <c r="A564"/>
      <c r="B564"/>
      <c r="C564"/>
      <c r="D564"/>
      <c r="E564"/>
      <c r="F564"/>
      <c r="G564"/>
    </row>
    <row r="565" spans="1:9" x14ac:dyDescent="0.25">
      <c r="A565"/>
      <c r="B565"/>
      <c r="C565"/>
      <c r="D565"/>
      <c r="E565"/>
      <c r="F565"/>
      <c r="G565"/>
    </row>
    <row r="566" spans="1:9" x14ac:dyDescent="0.25">
      <c r="A566"/>
      <c r="B566"/>
      <c r="C566"/>
      <c r="D566"/>
      <c r="E566"/>
      <c r="F566"/>
      <c r="G566"/>
    </row>
    <row r="567" spans="1:9" x14ac:dyDescent="0.25">
      <c r="A567"/>
      <c r="B567"/>
      <c r="C567"/>
      <c r="D567"/>
      <c r="E567"/>
      <c r="F567"/>
      <c r="G567"/>
    </row>
    <row r="568" spans="1:9" x14ac:dyDescent="0.25">
      <c r="A568"/>
      <c r="B568"/>
      <c r="C568"/>
      <c r="D568"/>
      <c r="E568"/>
      <c r="F568"/>
      <c r="G568"/>
    </row>
    <row r="569" spans="1:9" x14ac:dyDescent="0.25">
      <c r="A569"/>
      <c r="B569"/>
      <c r="C569"/>
      <c r="D569"/>
      <c r="E569"/>
      <c r="F569"/>
      <c r="G569"/>
    </row>
    <row r="570" spans="1:9" x14ac:dyDescent="0.25">
      <c r="A570"/>
      <c r="B570"/>
      <c r="C570"/>
      <c r="D570"/>
      <c r="E570"/>
      <c r="F570"/>
      <c r="G570"/>
    </row>
    <row r="571" spans="1:9" x14ac:dyDescent="0.25">
      <c r="A571"/>
      <c r="B571"/>
      <c r="C571"/>
      <c r="D571"/>
      <c r="E571"/>
      <c r="F571"/>
      <c r="G571"/>
      <c r="H571"/>
    </row>
    <row r="572" spans="1:9" x14ac:dyDescent="0.25">
      <c r="A572"/>
      <c r="B572"/>
      <c r="C572"/>
      <c r="D572"/>
      <c r="E572"/>
      <c r="F572"/>
      <c r="G572"/>
      <c r="H572"/>
      <c r="I572"/>
    </row>
    <row r="573" spans="1:9" x14ac:dyDescent="0.25">
      <c r="A573"/>
      <c r="B573"/>
      <c r="C573"/>
      <c r="D573"/>
      <c r="E573"/>
      <c r="F573"/>
      <c r="G573"/>
      <c r="H573"/>
      <c r="I573"/>
    </row>
    <row r="574" spans="1:9" x14ac:dyDescent="0.25">
      <c r="A574"/>
      <c r="B574"/>
      <c r="C574"/>
      <c r="D574"/>
      <c r="E574"/>
      <c r="F574"/>
      <c r="G574"/>
      <c r="H574"/>
      <c r="I574"/>
    </row>
    <row r="575" spans="1:9" x14ac:dyDescent="0.25">
      <c r="A575"/>
      <c r="B575"/>
      <c r="C575"/>
      <c r="D575"/>
      <c r="E575"/>
      <c r="F575"/>
      <c r="G575"/>
      <c r="H575"/>
      <c r="I575"/>
    </row>
    <row r="576" spans="1:9" x14ac:dyDescent="0.25">
      <c r="A576"/>
      <c r="B576"/>
      <c r="C576"/>
      <c r="D576"/>
      <c r="E576"/>
      <c r="F576"/>
      <c r="G576"/>
      <c r="H576"/>
      <c r="I576"/>
    </row>
    <row r="577" spans="1:9" x14ac:dyDescent="0.25">
      <c r="A577"/>
      <c r="B577"/>
      <c r="C577"/>
      <c r="D577"/>
      <c r="E577"/>
      <c r="F577"/>
      <c r="G577"/>
      <c r="H577"/>
      <c r="I577"/>
    </row>
    <row r="578" spans="1:9" x14ac:dyDescent="0.25">
      <c r="A578"/>
      <c r="B578"/>
      <c r="C578"/>
      <c r="D578"/>
      <c r="E578"/>
      <c r="F578"/>
      <c r="G578"/>
      <c r="H578"/>
      <c r="I578"/>
    </row>
    <row r="579" spans="1:9" x14ac:dyDescent="0.25">
      <c r="A579"/>
      <c r="B579"/>
      <c r="C579"/>
      <c r="D579"/>
      <c r="E579"/>
      <c r="F579"/>
      <c r="G579"/>
      <c r="H579"/>
      <c r="I579"/>
    </row>
    <row r="580" spans="1:9" x14ac:dyDescent="0.25">
      <c r="A580"/>
      <c r="B580"/>
      <c r="C580"/>
      <c r="D580"/>
      <c r="E580"/>
      <c r="F580"/>
      <c r="G580"/>
      <c r="H580"/>
      <c r="I580"/>
    </row>
    <row r="581" spans="1:9" x14ac:dyDescent="0.25">
      <c r="A581"/>
      <c r="B581"/>
      <c r="C581"/>
      <c r="D581"/>
      <c r="E581"/>
      <c r="F581"/>
      <c r="G581"/>
      <c r="H581"/>
      <c r="I581"/>
    </row>
    <row r="582" spans="1:9" x14ac:dyDescent="0.25">
      <c r="A582"/>
      <c r="B582"/>
      <c r="C582"/>
      <c r="D582"/>
      <c r="E582"/>
      <c r="F582"/>
      <c r="G582"/>
      <c r="H582"/>
      <c r="I582"/>
    </row>
    <row r="583" spans="1:9" x14ac:dyDescent="0.25">
      <c r="A583"/>
      <c r="B583"/>
      <c r="C583"/>
      <c r="D583"/>
      <c r="E583"/>
      <c r="F583"/>
      <c r="G583"/>
      <c r="H583"/>
      <c r="I583"/>
    </row>
    <row r="584" spans="1:9" x14ac:dyDescent="0.25">
      <c r="A584"/>
      <c r="B584"/>
      <c r="C584"/>
      <c r="D584"/>
      <c r="E584"/>
      <c r="F584"/>
      <c r="G584"/>
      <c r="H584"/>
      <c r="I584"/>
    </row>
    <row r="585" spans="1:9" x14ac:dyDescent="0.25">
      <c r="A585"/>
      <c r="B585"/>
      <c r="C585"/>
      <c r="D585"/>
      <c r="E585"/>
      <c r="F585"/>
      <c r="G585"/>
      <c r="H585"/>
      <c r="I585"/>
    </row>
    <row r="586" spans="1:9" x14ac:dyDescent="0.25">
      <c r="A586"/>
      <c r="B586"/>
      <c r="C586"/>
      <c r="D586"/>
      <c r="E586"/>
      <c r="F586"/>
      <c r="G586"/>
      <c r="H586"/>
      <c r="I586"/>
    </row>
    <row r="587" spans="1:9" x14ac:dyDescent="0.25">
      <c r="A587"/>
      <c r="B587"/>
      <c r="C587"/>
      <c r="D587"/>
      <c r="E587"/>
      <c r="F587"/>
      <c r="G587"/>
      <c r="H587"/>
      <c r="I587"/>
    </row>
    <row r="588" spans="1:9" x14ac:dyDescent="0.25">
      <c r="A588"/>
      <c r="B588"/>
      <c r="C588"/>
      <c r="D588"/>
      <c r="E588"/>
      <c r="F588"/>
      <c r="G588"/>
      <c r="H588"/>
      <c r="I588"/>
    </row>
    <row r="589" spans="1:9" x14ac:dyDescent="0.25">
      <c r="A589"/>
      <c r="B589"/>
      <c r="C589"/>
      <c r="D589"/>
      <c r="E589"/>
      <c r="F589"/>
      <c r="G589"/>
      <c r="H589"/>
      <c r="I589"/>
    </row>
    <row r="590" spans="1:9" x14ac:dyDescent="0.25">
      <c r="A590"/>
      <c r="B590"/>
      <c r="C590"/>
      <c r="D590"/>
      <c r="E590"/>
      <c r="F590"/>
      <c r="G590"/>
      <c r="H590"/>
      <c r="I590"/>
    </row>
    <row r="591" spans="1:9" x14ac:dyDescent="0.25">
      <c r="A591"/>
      <c r="B591"/>
      <c r="C591"/>
      <c r="D591"/>
      <c r="E591"/>
      <c r="F591"/>
      <c r="G591"/>
      <c r="H591"/>
      <c r="I591"/>
    </row>
    <row r="592" spans="1:9" x14ac:dyDescent="0.25">
      <c r="A592"/>
      <c r="B592"/>
      <c r="C592"/>
      <c r="D592"/>
      <c r="E592"/>
      <c r="F592"/>
      <c r="G592"/>
      <c r="H592"/>
      <c r="I592"/>
    </row>
    <row r="593" spans="1:9" x14ac:dyDescent="0.25">
      <c r="A593"/>
      <c r="B593"/>
      <c r="C593"/>
      <c r="D593"/>
      <c r="E593"/>
      <c r="F593"/>
      <c r="G593"/>
      <c r="H593"/>
      <c r="I593"/>
    </row>
    <row r="594" spans="1:9" x14ac:dyDescent="0.25">
      <c r="A594"/>
      <c r="B594"/>
      <c r="C594"/>
      <c r="D594"/>
      <c r="E594"/>
      <c r="F594"/>
      <c r="G594"/>
      <c r="H594"/>
      <c r="I594"/>
    </row>
    <row r="595" spans="1:9" x14ac:dyDescent="0.25">
      <c r="A595"/>
      <c r="B595"/>
      <c r="C595"/>
      <c r="D595"/>
      <c r="E595"/>
      <c r="F595"/>
      <c r="G595"/>
      <c r="H595"/>
      <c r="I595"/>
    </row>
    <row r="596" spans="1:9" x14ac:dyDescent="0.25">
      <c r="A596"/>
      <c r="B596"/>
      <c r="C596"/>
      <c r="D596"/>
      <c r="E596"/>
      <c r="F596"/>
      <c r="G596"/>
      <c r="H596"/>
      <c r="I596"/>
    </row>
    <row r="597" spans="1:9" x14ac:dyDescent="0.25">
      <c r="A597"/>
      <c r="B597"/>
      <c r="C597"/>
      <c r="D597"/>
      <c r="E597"/>
      <c r="F597"/>
      <c r="G597"/>
      <c r="H597"/>
      <c r="I597"/>
    </row>
    <row r="598" spans="1:9" x14ac:dyDescent="0.25">
      <c r="A598"/>
      <c r="B598"/>
      <c r="C598"/>
      <c r="D598"/>
      <c r="E598"/>
      <c r="F598"/>
      <c r="G598"/>
      <c r="H598"/>
      <c r="I598"/>
    </row>
    <row r="599" spans="1:9" x14ac:dyDescent="0.25">
      <c r="A599"/>
      <c r="B599"/>
      <c r="C599"/>
      <c r="D599"/>
      <c r="E599"/>
      <c r="F599"/>
      <c r="G599"/>
      <c r="H599"/>
      <c r="I599"/>
    </row>
    <row r="600" spans="1:9" x14ac:dyDescent="0.25">
      <c r="A600"/>
      <c r="B600"/>
      <c r="C600"/>
      <c r="D600"/>
      <c r="E600"/>
      <c r="F600"/>
      <c r="G600"/>
      <c r="H600"/>
      <c r="I600"/>
    </row>
    <row r="601" spans="1:9" x14ac:dyDescent="0.25">
      <c r="A601"/>
      <c r="B601"/>
      <c r="C601"/>
      <c r="D601"/>
      <c r="E601"/>
      <c r="F601"/>
      <c r="G601"/>
      <c r="H601"/>
      <c r="I601"/>
    </row>
    <row r="602" spans="1:9" x14ac:dyDescent="0.25">
      <c r="A602"/>
      <c r="B602"/>
      <c r="C602"/>
      <c r="D602"/>
      <c r="E602"/>
      <c r="F602"/>
      <c r="G602"/>
      <c r="H602"/>
      <c r="I602"/>
    </row>
    <row r="603" spans="1:9" x14ac:dyDescent="0.25">
      <c r="A603"/>
      <c r="B603"/>
      <c r="C603"/>
      <c r="D603"/>
      <c r="E603"/>
      <c r="F603"/>
      <c r="G603"/>
      <c r="H603"/>
      <c r="I603"/>
    </row>
    <row r="604" spans="1:9" x14ac:dyDescent="0.25">
      <c r="A604"/>
      <c r="B604"/>
      <c r="C604"/>
      <c r="D604"/>
      <c r="E604"/>
      <c r="F604"/>
      <c r="G604"/>
      <c r="H604"/>
      <c r="I604"/>
    </row>
    <row r="605" spans="1:9" x14ac:dyDescent="0.25">
      <c r="A605"/>
      <c r="B605"/>
      <c r="C605"/>
      <c r="D605"/>
      <c r="E605"/>
      <c r="F605"/>
      <c r="G605"/>
      <c r="H605"/>
      <c r="I605"/>
    </row>
    <row r="606" spans="1:9" x14ac:dyDescent="0.25">
      <c r="A606"/>
      <c r="B606"/>
      <c r="C606"/>
      <c r="D606"/>
      <c r="E606"/>
      <c r="F606"/>
      <c r="G606"/>
      <c r="H606"/>
      <c r="I606"/>
    </row>
    <row r="607" spans="1:9" x14ac:dyDescent="0.25">
      <c r="A607"/>
      <c r="B607"/>
      <c r="C607"/>
      <c r="D607"/>
      <c r="E607"/>
      <c r="F607"/>
      <c r="G607"/>
      <c r="H607"/>
      <c r="I607"/>
    </row>
    <row r="608" spans="1:9" x14ac:dyDescent="0.25">
      <c r="A608"/>
      <c r="B608"/>
      <c r="C608"/>
      <c r="D608"/>
      <c r="E608"/>
      <c r="F608"/>
      <c r="G608"/>
      <c r="H608"/>
      <c r="I608"/>
    </row>
    <row r="609" spans="1:9" x14ac:dyDescent="0.25">
      <c r="A609"/>
      <c r="B609"/>
      <c r="C609"/>
      <c r="D609"/>
      <c r="E609"/>
      <c r="F609"/>
      <c r="G609"/>
      <c r="H609"/>
      <c r="I609"/>
    </row>
    <row r="610" spans="1:9" x14ac:dyDescent="0.25">
      <c r="A610"/>
      <c r="B610"/>
      <c r="C610"/>
      <c r="D610"/>
      <c r="E610"/>
      <c r="F610"/>
      <c r="G610"/>
      <c r="H610"/>
      <c r="I610"/>
    </row>
    <row r="611" spans="1:9" x14ac:dyDescent="0.25">
      <c r="A611"/>
      <c r="B611"/>
      <c r="C611"/>
      <c r="D611"/>
      <c r="E611"/>
      <c r="F611"/>
      <c r="G611"/>
      <c r="H611"/>
      <c r="I611"/>
    </row>
    <row r="612" spans="1:9" x14ac:dyDescent="0.25">
      <c r="A612"/>
      <c r="B612"/>
      <c r="C612"/>
      <c r="D612"/>
      <c r="E612"/>
      <c r="F612"/>
      <c r="G612"/>
      <c r="H612"/>
      <c r="I612"/>
    </row>
    <row r="613" spans="1:9" x14ac:dyDescent="0.25">
      <c r="A613"/>
      <c r="B613"/>
      <c r="C613"/>
      <c r="D613"/>
      <c r="E613"/>
      <c r="F613"/>
      <c r="G613"/>
      <c r="H613"/>
      <c r="I613"/>
    </row>
    <row r="614" spans="1:9" x14ac:dyDescent="0.25">
      <c r="A614"/>
      <c r="B614"/>
      <c r="C614"/>
      <c r="D614"/>
      <c r="E614"/>
      <c r="F614"/>
      <c r="G614"/>
      <c r="H614"/>
      <c r="I614"/>
    </row>
    <row r="615" spans="1:9" x14ac:dyDescent="0.25">
      <c r="A615"/>
      <c r="B615"/>
      <c r="C615"/>
      <c r="D615"/>
      <c r="E615"/>
      <c r="F615"/>
      <c r="G615"/>
      <c r="H615"/>
      <c r="I615"/>
    </row>
    <row r="616" spans="1:9" x14ac:dyDescent="0.25">
      <c r="A616"/>
      <c r="B616"/>
      <c r="C616"/>
      <c r="D616"/>
      <c r="E616"/>
      <c r="F616"/>
      <c r="G616"/>
      <c r="H616"/>
      <c r="I616"/>
    </row>
    <row r="617" spans="1:9" x14ac:dyDescent="0.25">
      <c r="A617"/>
      <c r="B617"/>
      <c r="C617"/>
      <c r="D617"/>
      <c r="E617"/>
      <c r="F617"/>
      <c r="G617"/>
      <c r="H617"/>
      <c r="I617"/>
    </row>
    <row r="618" spans="1:9" x14ac:dyDescent="0.25">
      <c r="A618"/>
      <c r="B618"/>
      <c r="C618"/>
      <c r="D618"/>
      <c r="E618"/>
      <c r="F618"/>
      <c r="G618"/>
      <c r="H618"/>
      <c r="I618"/>
    </row>
    <row r="619" spans="1:9" x14ac:dyDescent="0.25">
      <c r="A619"/>
      <c r="B619"/>
      <c r="C619"/>
      <c r="D619"/>
      <c r="E619"/>
      <c r="F619"/>
      <c r="G619"/>
      <c r="H619"/>
      <c r="I619"/>
    </row>
    <row r="620" spans="1:9" x14ac:dyDescent="0.25">
      <c r="A620"/>
      <c r="B620"/>
      <c r="C620"/>
      <c r="D620"/>
      <c r="E620"/>
      <c r="F620"/>
      <c r="G620"/>
      <c r="H620"/>
      <c r="I620"/>
    </row>
    <row r="621" spans="1:9" x14ac:dyDescent="0.25">
      <c r="A621"/>
      <c r="B621"/>
      <c r="C621"/>
      <c r="D621"/>
      <c r="E621"/>
      <c r="F621"/>
      <c r="G621"/>
      <c r="H621"/>
      <c r="I621"/>
    </row>
    <row r="622" spans="1:9" x14ac:dyDescent="0.25">
      <c r="A622"/>
      <c r="B622"/>
      <c r="C622"/>
      <c r="D622"/>
      <c r="E622"/>
      <c r="F622"/>
      <c r="G622"/>
      <c r="H622"/>
      <c r="I622"/>
    </row>
    <row r="623" spans="1:9" x14ac:dyDescent="0.25">
      <c r="A623"/>
      <c r="B623"/>
      <c r="C623"/>
      <c r="D623"/>
      <c r="E623"/>
      <c r="F623"/>
      <c r="G623"/>
      <c r="H623"/>
      <c r="I623"/>
    </row>
    <row r="624" spans="1:9" x14ac:dyDescent="0.25">
      <c r="A624"/>
      <c r="B624"/>
      <c r="C624"/>
      <c r="D624"/>
      <c r="E624"/>
      <c r="F624"/>
      <c r="G624"/>
      <c r="H624"/>
      <c r="I624"/>
    </row>
    <row r="625" spans="1:9" x14ac:dyDescent="0.25">
      <c r="A625"/>
      <c r="B625"/>
      <c r="C625"/>
      <c r="D625"/>
      <c r="E625"/>
      <c r="F625"/>
      <c r="G625"/>
      <c r="H625"/>
      <c r="I625"/>
    </row>
    <row r="626" spans="1:9" x14ac:dyDescent="0.25">
      <c r="A626"/>
      <c r="B626"/>
      <c r="C626"/>
      <c r="D626"/>
      <c r="E626"/>
      <c r="F626"/>
      <c r="G626"/>
      <c r="H626"/>
      <c r="I626"/>
    </row>
    <row r="627" spans="1:9" x14ac:dyDescent="0.25">
      <c r="A627"/>
      <c r="B627"/>
      <c r="C627"/>
      <c r="D627"/>
      <c r="E627"/>
      <c r="F627"/>
      <c r="G627"/>
      <c r="H627"/>
      <c r="I627"/>
    </row>
    <row r="628" spans="1:9" x14ac:dyDescent="0.25">
      <c r="A628"/>
      <c r="B628"/>
      <c r="C628"/>
      <c r="D628"/>
      <c r="E628"/>
      <c r="F628"/>
      <c r="G628"/>
      <c r="H628"/>
      <c r="I628"/>
    </row>
    <row r="629" spans="1:9" x14ac:dyDescent="0.25">
      <c r="A629"/>
      <c r="B629"/>
      <c r="C629"/>
      <c r="D629"/>
      <c r="E629"/>
      <c r="F629"/>
      <c r="G629"/>
      <c r="H629"/>
      <c r="I629"/>
    </row>
    <row r="630" spans="1:9" x14ac:dyDescent="0.25">
      <c r="A630"/>
      <c r="B630"/>
      <c r="C630"/>
      <c r="D630"/>
      <c r="E630"/>
      <c r="F630"/>
      <c r="G630"/>
      <c r="H630"/>
      <c r="I630"/>
    </row>
    <row r="631" spans="1:9" x14ac:dyDescent="0.25">
      <c r="A631"/>
      <c r="B631"/>
      <c r="C631"/>
      <c r="D631"/>
      <c r="E631"/>
      <c r="F631"/>
      <c r="G631"/>
      <c r="H631"/>
      <c r="I631"/>
    </row>
    <row r="632" spans="1:9" x14ac:dyDescent="0.25">
      <c r="A632"/>
      <c r="B632"/>
      <c r="C632"/>
      <c r="D632"/>
      <c r="E632"/>
      <c r="F632"/>
      <c r="G632"/>
      <c r="H632"/>
      <c r="I632"/>
    </row>
    <row r="633" spans="1:9" x14ac:dyDescent="0.25">
      <c r="A633"/>
      <c r="B633"/>
      <c r="C633"/>
      <c r="D633"/>
      <c r="E633"/>
      <c r="F633"/>
      <c r="G633"/>
      <c r="H633"/>
      <c r="I633"/>
    </row>
    <row r="634" spans="1:9" x14ac:dyDescent="0.25">
      <c r="A634"/>
      <c r="B634"/>
      <c r="C634"/>
      <c r="D634"/>
      <c r="E634"/>
      <c r="F634"/>
      <c r="G634"/>
      <c r="H634"/>
      <c r="I634"/>
    </row>
    <row r="635" spans="1:9" x14ac:dyDescent="0.25">
      <c r="A635"/>
      <c r="B635"/>
      <c r="C635"/>
      <c r="D635"/>
      <c r="E635"/>
      <c r="F635"/>
      <c r="G635"/>
      <c r="H635"/>
      <c r="I635"/>
    </row>
    <row r="636" spans="1:9" x14ac:dyDescent="0.25">
      <c r="A636"/>
      <c r="B636"/>
      <c r="C636"/>
      <c r="D636"/>
      <c r="E636"/>
      <c r="F636"/>
      <c r="G636"/>
      <c r="H636"/>
      <c r="I636"/>
    </row>
    <row r="637" spans="1:9" x14ac:dyDescent="0.25">
      <c r="A637"/>
      <c r="B637"/>
      <c r="C637"/>
      <c r="D637"/>
      <c r="E637"/>
      <c r="F637"/>
      <c r="G637"/>
      <c r="H637"/>
      <c r="I637"/>
    </row>
    <row r="638" spans="1:9" x14ac:dyDescent="0.25">
      <c r="A638"/>
      <c r="B638"/>
      <c r="C638"/>
      <c r="D638"/>
      <c r="E638"/>
      <c r="F638"/>
      <c r="G638"/>
      <c r="H638"/>
      <c r="I638"/>
    </row>
    <row r="639" spans="1:9" x14ac:dyDescent="0.25">
      <c r="A639"/>
      <c r="B639"/>
      <c r="C639"/>
      <c r="D639"/>
      <c r="E639"/>
      <c r="F639"/>
      <c r="G639"/>
      <c r="H639"/>
      <c r="I639"/>
    </row>
    <row r="640" spans="1:9" x14ac:dyDescent="0.25">
      <c r="A640"/>
      <c r="B640"/>
      <c r="C640"/>
      <c r="D640"/>
      <c r="E640"/>
      <c r="F640"/>
      <c r="G640"/>
      <c r="H640"/>
      <c r="I640"/>
    </row>
    <row r="641" spans="1:9" x14ac:dyDescent="0.25">
      <c r="A641"/>
      <c r="B641"/>
      <c r="C641"/>
      <c r="D641"/>
      <c r="E641"/>
      <c r="F641"/>
      <c r="G641"/>
      <c r="H641"/>
      <c r="I641"/>
    </row>
    <row r="642" spans="1:9" x14ac:dyDescent="0.25">
      <c r="A642"/>
      <c r="B642"/>
      <c r="C642"/>
      <c r="D642"/>
      <c r="E642"/>
      <c r="F642"/>
      <c r="G642"/>
      <c r="H642"/>
      <c r="I642"/>
    </row>
    <row r="643" spans="1:9" x14ac:dyDescent="0.25">
      <c r="A643"/>
      <c r="B643"/>
      <c r="C643"/>
      <c r="D643"/>
      <c r="E643"/>
      <c r="F643"/>
      <c r="G643"/>
      <c r="H643"/>
      <c r="I643"/>
    </row>
    <row r="644" spans="1:9" x14ac:dyDescent="0.25">
      <c r="A644"/>
      <c r="B644"/>
      <c r="C644"/>
      <c r="D644"/>
      <c r="E644"/>
      <c r="F644"/>
      <c r="G644"/>
      <c r="H644"/>
      <c r="I644"/>
    </row>
    <row r="645" spans="1:9" x14ac:dyDescent="0.25">
      <c r="A645"/>
      <c r="B645"/>
      <c r="C645"/>
      <c r="D645"/>
      <c r="E645"/>
      <c r="F645"/>
      <c r="G645"/>
      <c r="H645"/>
      <c r="I645"/>
    </row>
    <row r="646" spans="1:9" x14ac:dyDescent="0.25">
      <c r="A646"/>
      <c r="B646"/>
      <c r="C646"/>
      <c r="D646"/>
      <c r="E646"/>
      <c r="F646"/>
      <c r="G646"/>
      <c r="H646"/>
      <c r="I646"/>
    </row>
    <row r="647" spans="1:9" x14ac:dyDescent="0.25">
      <c r="A647"/>
      <c r="B647"/>
      <c r="C647"/>
      <c r="D647"/>
      <c r="E647"/>
      <c r="F647"/>
      <c r="G647"/>
      <c r="H647"/>
      <c r="I647"/>
    </row>
    <row r="648" spans="1:9" x14ac:dyDescent="0.25">
      <c r="A648"/>
      <c r="B648"/>
      <c r="C648"/>
      <c r="D648"/>
      <c r="E648"/>
      <c r="F648"/>
      <c r="G648"/>
      <c r="H648"/>
      <c r="I648"/>
    </row>
    <row r="649" spans="1:9" x14ac:dyDescent="0.25">
      <c r="A649"/>
      <c r="B649"/>
      <c r="C649"/>
      <c r="D649"/>
      <c r="E649"/>
      <c r="F649"/>
      <c r="G649"/>
      <c r="H649"/>
      <c r="I649"/>
    </row>
    <row r="650" spans="1:9" x14ac:dyDescent="0.25">
      <c r="A650"/>
      <c r="B650"/>
      <c r="C650"/>
      <c r="D650"/>
      <c r="E650"/>
      <c r="F650"/>
      <c r="G650"/>
      <c r="H650"/>
      <c r="I650"/>
    </row>
    <row r="651" spans="1:9" x14ac:dyDescent="0.25">
      <c r="A651"/>
      <c r="B651"/>
      <c r="C651"/>
      <c r="D651"/>
      <c r="E651"/>
      <c r="F651"/>
      <c r="G651"/>
      <c r="H651"/>
      <c r="I651"/>
    </row>
    <row r="652" spans="1:9" x14ac:dyDescent="0.25">
      <c r="A652"/>
      <c r="B652"/>
      <c r="C652"/>
      <c r="D652"/>
      <c r="E652"/>
      <c r="F652"/>
      <c r="G652"/>
      <c r="H652"/>
      <c r="I652"/>
    </row>
    <row r="653" spans="1:9" x14ac:dyDescent="0.25">
      <c r="A653"/>
      <c r="B653"/>
      <c r="C653"/>
      <c r="D653"/>
      <c r="E653"/>
      <c r="F653"/>
      <c r="G653"/>
      <c r="H653"/>
      <c r="I653"/>
    </row>
    <row r="654" spans="1:9" x14ac:dyDescent="0.25">
      <c r="A654"/>
      <c r="B654"/>
      <c r="C654"/>
      <c r="D654"/>
      <c r="E654"/>
      <c r="F654"/>
      <c r="G654"/>
      <c r="H654"/>
      <c r="I654"/>
    </row>
    <row r="655" spans="1:9" x14ac:dyDescent="0.25">
      <c r="A655"/>
      <c r="B655"/>
      <c r="C655"/>
      <c r="D655"/>
      <c r="E655"/>
      <c r="F655"/>
      <c r="G655"/>
      <c r="H655"/>
      <c r="I655"/>
    </row>
    <row r="656" spans="1:9" x14ac:dyDescent="0.25">
      <c r="A656"/>
      <c r="B656"/>
      <c r="C656"/>
      <c r="D656"/>
      <c r="E656"/>
      <c r="F656"/>
      <c r="G656"/>
      <c r="H656"/>
      <c r="I656"/>
    </row>
    <row r="657" spans="1:9" x14ac:dyDescent="0.25">
      <c r="A657"/>
      <c r="B657"/>
      <c r="C657"/>
      <c r="D657"/>
      <c r="E657"/>
      <c r="F657"/>
      <c r="G657"/>
      <c r="H657"/>
      <c r="I657"/>
    </row>
    <row r="658" spans="1:9" x14ac:dyDescent="0.25">
      <c r="A658"/>
      <c r="B658"/>
      <c r="C658"/>
      <c r="D658"/>
      <c r="E658"/>
      <c r="F658"/>
      <c r="G658"/>
      <c r="H658"/>
      <c r="I658"/>
    </row>
    <row r="659" spans="1:9" x14ac:dyDescent="0.25">
      <c r="A659"/>
      <c r="B659"/>
      <c r="C659"/>
      <c r="D659"/>
      <c r="E659"/>
      <c r="F659"/>
      <c r="G659"/>
      <c r="H659"/>
      <c r="I659"/>
    </row>
    <row r="660" spans="1:9" x14ac:dyDescent="0.25">
      <c r="A660"/>
      <c r="B660"/>
      <c r="C660"/>
      <c r="D660"/>
      <c r="E660"/>
      <c r="F660"/>
      <c r="G660"/>
      <c r="H660"/>
      <c r="I660"/>
    </row>
    <row r="661" spans="1:9" x14ac:dyDescent="0.25">
      <c r="A661"/>
      <c r="B661"/>
      <c r="C661"/>
      <c r="D661"/>
      <c r="E661"/>
      <c r="F661"/>
      <c r="G661"/>
      <c r="H661"/>
      <c r="I661"/>
    </row>
    <row r="662" spans="1:9" x14ac:dyDescent="0.25">
      <c r="A662"/>
      <c r="B662"/>
      <c r="C662"/>
      <c r="D662"/>
      <c r="E662"/>
      <c r="F662"/>
      <c r="G662"/>
      <c r="H662"/>
      <c r="I662"/>
    </row>
    <row r="663" spans="1:9" x14ac:dyDescent="0.25">
      <c r="A663"/>
      <c r="B663"/>
      <c r="C663"/>
      <c r="D663"/>
      <c r="E663"/>
      <c r="F663"/>
      <c r="G663"/>
      <c r="H663"/>
      <c r="I663"/>
    </row>
    <row r="664" spans="1:9" x14ac:dyDescent="0.25">
      <c r="A664"/>
      <c r="B664"/>
      <c r="C664"/>
      <c r="D664"/>
      <c r="E664"/>
      <c r="F664"/>
      <c r="G664"/>
      <c r="H664"/>
      <c r="I664"/>
    </row>
    <row r="665" spans="1:9" x14ac:dyDescent="0.25">
      <c r="A665"/>
      <c r="B665"/>
      <c r="C665"/>
      <c r="D665"/>
      <c r="E665"/>
      <c r="F665"/>
      <c r="G665"/>
      <c r="H665"/>
      <c r="I665"/>
    </row>
    <row r="666" spans="1:9" x14ac:dyDescent="0.25">
      <c r="A666"/>
      <c r="B666"/>
      <c r="C666"/>
      <c r="D666"/>
      <c r="E666"/>
      <c r="F666"/>
      <c r="G666"/>
      <c r="H666"/>
      <c r="I666"/>
    </row>
    <row r="667" spans="1:9" x14ac:dyDescent="0.25">
      <c r="A667"/>
      <c r="B667"/>
      <c r="C667"/>
      <c r="D667"/>
      <c r="E667"/>
      <c r="F667"/>
      <c r="G667"/>
      <c r="H667"/>
      <c r="I667"/>
    </row>
    <row r="668" spans="1:9" x14ac:dyDescent="0.25">
      <c r="A668"/>
      <c r="B668"/>
      <c r="C668"/>
      <c r="D668"/>
      <c r="E668"/>
      <c r="F668"/>
      <c r="G668"/>
      <c r="H668"/>
      <c r="I668"/>
    </row>
    <row r="669" spans="1:9" x14ac:dyDescent="0.25">
      <c r="A669"/>
      <c r="B669"/>
      <c r="C669"/>
      <c r="D669"/>
      <c r="E669"/>
      <c r="F669"/>
      <c r="G669"/>
      <c r="H669"/>
      <c r="I669"/>
    </row>
    <row r="670" spans="1:9" x14ac:dyDescent="0.25">
      <c r="A670"/>
      <c r="B670"/>
      <c r="C670"/>
      <c r="D670"/>
      <c r="E670"/>
      <c r="F670"/>
      <c r="G670"/>
      <c r="H670"/>
      <c r="I670"/>
    </row>
    <row r="671" spans="1:9" x14ac:dyDescent="0.25">
      <c r="A671"/>
      <c r="B671"/>
      <c r="C671"/>
      <c r="D671"/>
      <c r="E671"/>
      <c r="F671"/>
      <c r="G671"/>
      <c r="H671"/>
      <c r="I671"/>
    </row>
    <row r="672" spans="1:9" x14ac:dyDescent="0.25">
      <c r="A672"/>
      <c r="B672"/>
      <c r="C672"/>
      <c r="D672"/>
      <c r="E672"/>
      <c r="F672"/>
      <c r="G672"/>
      <c r="H672"/>
      <c r="I672"/>
    </row>
    <row r="673" spans="1:9" x14ac:dyDescent="0.25">
      <c r="A673"/>
      <c r="B673"/>
      <c r="C673"/>
      <c r="D673"/>
      <c r="E673"/>
      <c r="F673"/>
      <c r="G673"/>
      <c r="H673"/>
      <c r="I673"/>
    </row>
    <row r="674" spans="1:9" x14ac:dyDescent="0.25">
      <c r="A674"/>
      <c r="B674"/>
      <c r="C674"/>
      <c r="D674"/>
      <c r="E674"/>
      <c r="F674"/>
      <c r="G674"/>
      <c r="H674"/>
      <c r="I674"/>
    </row>
    <row r="675" spans="1:9" x14ac:dyDescent="0.25">
      <c r="A675"/>
      <c r="B675"/>
      <c r="C675"/>
      <c r="D675"/>
      <c r="E675"/>
      <c r="F675"/>
      <c r="G675"/>
      <c r="H675"/>
      <c r="I675"/>
    </row>
    <row r="676" spans="1:9" x14ac:dyDescent="0.25">
      <c r="A676"/>
      <c r="B676"/>
      <c r="C676"/>
      <c r="D676"/>
      <c r="E676"/>
      <c r="F676"/>
      <c r="G676"/>
      <c r="H676"/>
      <c r="I676"/>
    </row>
    <row r="677" spans="1:9" x14ac:dyDescent="0.25">
      <c r="A677"/>
      <c r="B677"/>
      <c r="C677"/>
      <c r="D677"/>
      <c r="E677"/>
      <c r="F677"/>
      <c r="G677"/>
      <c r="H677"/>
      <c r="I677"/>
    </row>
    <row r="678" spans="1:9" x14ac:dyDescent="0.25">
      <c r="A678"/>
      <c r="B678"/>
      <c r="C678"/>
      <c r="D678"/>
      <c r="E678"/>
      <c r="F678"/>
      <c r="G678"/>
      <c r="H678"/>
      <c r="I678"/>
    </row>
    <row r="679" spans="1:9" x14ac:dyDescent="0.25">
      <c r="A679"/>
      <c r="B679"/>
      <c r="C679"/>
      <c r="D679"/>
      <c r="E679"/>
      <c r="F679"/>
      <c r="G679"/>
      <c r="H679"/>
      <c r="I679"/>
    </row>
    <row r="680" spans="1:9" x14ac:dyDescent="0.25">
      <c r="A680"/>
      <c r="B680"/>
      <c r="C680"/>
      <c r="D680"/>
      <c r="E680"/>
      <c r="F680"/>
      <c r="G680"/>
      <c r="H680"/>
      <c r="I680"/>
    </row>
    <row r="681" spans="1:9" x14ac:dyDescent="0.25">
      <c r="A681"/>
      <c r="B681"/>
      <c r="C681"/>
      <c r="D681"/>
      <c r="E681"/>
      <c r="F681"/>
      <c r="G681"/>
      <c r="H681"/>
      <c r="I681"/>
    </row>
    <row r="682" spans="1:9" x14ac:dyDescent="0.25">
      <c r="A682"/>
      <c r="B682"/>
      <c r="C682"/>
      <c r="D682"/>
      <c r="E682"/>
      <c r="F682"/>
      <c r="G682"/>
      <c r="H682"/>
      <c r="I682"/>
    </row>
    <row r="683" spans="1:9" x14ac:dyDescent="0.25">
      <c r="A683"/>
      <c r="B683"/>
      <c r="C683"/>
      <c r="D683"/>
      <c r="E683"/>
      <c r="F683"/>
      <c r="G683"/>
      <c r="H683"/>
      <c r="I683"/>
    </row>
    <row r="684" spans="1:9" x14ac:dyDescent="0.25">
      <c r="A684"/>
      <c r="B684"/>
      <c r="C684"/>
      <c r="D684"/>
      <c r="E684"/>
      <c r="F684"/>
      <c r="G684"/>
      <c r="H684"/>
      <c r="I684"/>
    </row>
    <row r="685" spans="1:9" x14ac:dyDescent="0.25">
      <c r="A685"/>
      <c r="B685"/>
      <c r="C685"/>
      <c r="D685"/>
      <c r="E685"/>
      <c r="F685"/>
      <c r="G685"/>
      <c r="H685"/>
      <c r="I685"/>
    </row>
    <row r="686" spans="1:9" x14ac:dyDescent="0.25">
      <c r="A686"/>
      <c r="B686"/>
      <c r="C686"/>
      <c r="D686"/>
      <c r="E686"/>
      <c r="F686"/>
      <c r="G686"/>
      <c r="H686"/>
      <c r="I686"/>
    </row>
    <row r="687" spans="1:9" x14ac:dyDescent="0.25">
      <c r="A687"/>
      <c r="B687"/>
      <c r="C687"/>
      <c r="D687"/>
      <c r="E687"/>
      <c r="F687"/>
      <c r="G687"/>
      <c r="H687"/>
      <c r="I687"/>
    </row>
    <row r="688" spans="1:9" x14ac:dyDescent="0.25">
      <c r="A688"/>
      <c r="B688"/>
      <c r="C688"/>
      <c r="D688"/>
      <c r="E688"/>
      <c r="F688"/>
      <c r="G688"/>
      <c r="H688"/>
      <c r="I688"/>
    </row>
    <row r="689" spans="1:9" x14ac:dyDescent="0.25">
      <c r="A689"/>
      <c r="B689"/>
      <c r="C689"/>
      <c r="D689"/>
      <c r="E689"/>
      <c r="F689"/>
      <c r="G689"/>
      <c r="H689"/>
      <c r="I689"/>
    </row>
    <row r="690" spans="1:9" x14ac:dyDescent="0.25">
      <c r="A690"/>
      <c r="B690"/>
      <c r="C690"/>
      <c r="D690"/>
      <c r="E690"/>
      <c r="F690"/>
      <c r="G690"/>
      <c r="H690"/>
      <c r="I690"/>
    </row>
    <row r="691" spans="1:9" x14ac:dyDescent="0.25">
      <c r="A691"/>
      <c r="B691"/>
      <c r="C691"/>
      <c r="D691"/>
      <c r="E691"/>
      <c r="F691"/>
      <c r="G691"/>
      <c r="H691"/>
      <c r="I691"/>
    </row>
    <row r="692" spans="1:9" x14ac:dyDescent="0.25">
      <c r="A692"/>
      <c r="B692"/>
      <c r="C692"/>
      <c r="D692"/>
      <c r="E692"/>
      <c r="F692"/>
      <c r="G692"/>
      <c r="H692"/>
      <c r="I692"/>
    </row>
    <row r="693" spans="1:9" x14ac:dyDescent="0.25">
      <c r="A693"/>
      <c r="B693"/>
      <c r="C693"/>
      <c r="D693"/>
      <c r="E693"/>
      <c r="F693"/>
      <c r="G693"/>
      <c r="H693"/>
      <c r="I693"/>
    </row>
    <row r="694" spans="1:9" x14ac:dyDescent="0.25">
      <c r="A694"/>
      <c r="B694"/>
      <c r="C694"/>
      <c r="D694"/>
      <c r="E694"/>
      <c r="F694"/>
      <c r="G694"/>
      <c r="H694"/>
      <c r="I694"/>
    </row>
    <row r="695" spans="1:9" x14ac:dyDescent="0.25">
      <c r="A695"/>
      <c r="B695"/>
      <c r="C695"/>
      <c r="D695"/>
      <c r="E695"/>
      <c r="F695"/>
      <c r="G695"/>
      <c r="H695"/>
      <c r="I695"/>
    </row>
    <row r="696" spans="1:9" x14ac:dyDescent="0.25">
      <c r="A696"/>
      <c r="B696"/>
      <c r="C696"/>
      <c r="D696"/>
      <c r="E696"/>
      <c r="F696"/>
      <c r="G696"/>
      <c r="H696"/>
      <c r="I696"/>
    </row>
    <row r="697" spans="1:9" x14ac:dyDescent="0.25">
      <c r="A697"/>
      <c r="B697"/>
      <c r="C697"/>
      <c r="D697"/>
      <c r="E697"/>
      <c r="F697"/>
      <c r="G697"/>
      <c r="H697"/>
      <c r="I697"/>
    </row>
    <row r="698" spans="1:9" x14ac:dyDescent="0.25">
      <c r="A698"/>
      <c r="B698"/>
      <c r="C698"/>
      <c r="D698"/>
      <c r="E698"/>
      <c r="F698"/>
      <c r="G698"/>
      <c r="H698"/>
      <c r="I698"/>
    </row>
    <row r="699" spans="1:9" x14ac:dyDescent="0.25">
      <c r="A699"/>
      <c r="B699"/>
      <c r="C699"/>
      <c r="D699"/>
      <c r="E699"/>
      <c r="F699"/>
      <c r="G699"/>
      <c r="H699"/>
      <c r="I699"/>
    </row>
    <row r="700" spans="1:9" x14ac:dyDescent="0.25">
      <c r="A700"/>
      <c r="B700"/>
      <c r="C700"/>
      <c r="D700"/>
      <c r="E700"/>
      <c r="F700"/>
      <c r="G700"/>
    </row>
    <row r="701" spans="1:9" x14ac:dyDescent="0.25">
      <c r="A701"/>
      <c r="B701"/>
      <c r="C701"/>
      <c r="D701"/>
      <c r="E701"/>
      <c r="F701"/>
      <c r="G701"/>
    </row>
    <row r="702" spans="1:9" x14ac:dyDescent="0.25">
      <c r="A702"/>
      <c r="B702"/>
      <c r="C702"/>
      <c r="D702"/>
      <c r="E702"/>
      <c r="F702"/>
      <c r="G702"/>
    </row>
    <row r="703" spans="1:9" x14ac:dyDescent="0.25">
      <c r="A703"/>
      <c r="B703"/>
      <c r="C703"/>
      <c r="D703"/>
      <c r="E703"/>
      <c r="F703"/>
      <c r="G703"/>
    </row>
    <row r="704" spans="1:9" x14ac:dyDescent="0.25">
      <c r="A704"/>
      <c r="B704"/>
      <c r="C704"/>
      <c r="D704"/>
      <c r="E704"/>
      <c r="F704"/>
      <c r="G704"/>
    </row>
    <row r="705" spans="1:7" x14ac:dyDescent="0.25">
      <c r="A705"/>
      <c r="B705"/>
      <c r="C705"/>
      <c r="D705"/>
      <c r="E705"/>
      <c r="F705"/>
      <c r="G705"/>
    </row>
    <row r="706" spans="1:7" x14ac:dyDescent="0.25">
      <c r="A706"/>
      <c r="B706"/>
      <c r="C706"/>
      <c r="D706"/>
      <c r="E706"/>
      <c r="F706"/>
      <c r="G706"/>
    </row>
    <row r="707" spans="1:7" x14ac:dyDescent="0.25">
      <c r="A707"/>
      <c r="B707"/>
      <c r="C707"/>
      <c r="D707"/>
      <c r="E707"/>
      <c r="F707"/>
      <c r="G707"/>
    </row>
    <row r="708" spans="1:7" x14ac:dyDescent="0.25">
      <c r="A708"/>
      <c r="B708"/>
      <c r="C708"/>
      <c r="D708"/>
      <c r="E708"/>
      <c r="F708"/>
      <c r="G708"/>
    </row>
    <row r="709" spans="1:7" x14ac:dyDescent="0.25">
      <c r="A709"/>
      <c r="B709"/>
      <c r="C709"/>
      <c r="D709"/>
      <c r="E709"/>
      <c r="F709"/>
      <c r="G709"/>
    </row>
    <row r="710" spans="1:7" x14ac:dyDescent="0.25">
      <c r="A710"/>
      <c r="B710"/>
      <c r="C710"/>
      <c r="D710"/>
      <c r="E710"/>
      <c r="F710"/>
      <c r="G710"/>
    </row>
    <row r="711" spans="1:7" x14ac:dyDescent="0.25">
      <c r="A711"/>
      <c r="B711"/>
      <c r="C711"/>
      <c r="D711"/>
      <c r="E711"/>
      <c r="F711"/>
      <c r="G711"/>
    </row>
    <row r="712" spans="1:7" x14ac:dyDescent="0.25">
      <c r="A712"/>
      <c r="B712"/>
      <c r="C712"/>
      <c r="D712"/>
      <c r="E712"/>
      <c r="F712"/>
      <c r="G712"/>
    </row>
    <row r="713" spans="1:7" x14ac:dyDescent="0.25">
      <c r="A713"/>
      <c r="B713"/>
      <c r="C713"/>
      <c r="D713"/>
      <c r="E713"/>
      <c r="F713"/>
      <c r="G713"/>
    </row>
    <row r="714" spans="1:7" x14ac:dyDescent="0.25">
      <c r="A714"/>
      <c r="B714"/>
      <c r="C714"/>
      <c r="D714"/>
      <c r="E714"/>
      <c r="F714"/>
      <c r="G714"/>
    </row>
    <row r="715" spans="1:7" x14ac:dyDescent="0.25">
      <c r="A715"/>
      <c r="B715"/>
      <c r="C715"/>
      <c r="D715"/>
      <c r="E715"/>
      <c r="F715"/>
      <c r="G715"/>
    </row>
    <row r="716" spans="1:7" x14ac:dyDescent="0.25">
      <c r="A716"/>
      <c r="B716"/>
      <c r="C716"/>
      <c r="D716"/>
      <c r="E716"/>
      <c r="F716"/>
      <c r="G716"/>
    </row>
    <row r="717" spans="1:7" x14ac:dyDescent="0.25">
      <c r="A717"/>
      <c r="B717"/>
      <c r="C717"/>
      <c r="D717"/>
      <c r="E717"/>
      <c r="F717"/>
      <c r="G717"/>
    </row>
    <row r="718" spans="1:7" x14ac:dyDescent="0.25">
      <c r="A718"/>
      <c r="B718"/>
      <c r="C718"/>
      <c r="D718"/>
      <c r="E718"/>
      <c r="F718"/>
      <c r="G718"/>
    </row>
    <row r="719" spans="1:7" x14ac:dyDescent="0.25">
      <c r="A719"/>
      <c r="B719"/>
      <c r="C719"/>
      <c r="D719"/>
      <c r="E719"/>
      <c r="F719"/>
      <c r="G719"/>
    </row>
    <row r="720" spans="1:7" x14ac:dyDescent="0.25">
      <c r="A720"/>
      <c r="B720"/>
      <c r="C720"/>
      <c r="D720"/>
      <c r="E720"/>
      <c r="F720"/>
      <c r="G720"/>
    </row>
    <row r="721" spans="1:7" x14ac:dyDescent="0.25">
      <c r="A721"/>
      <c r="B721"/>
      <c r="C721"/>
      <c r="D721"/>
      <c r="E721"/>
      <c r="F721"/>
      <c r="G721"/>
    </row>
    <row r="722" spans="1:7" x14ac:dyDescent="0.25">
      <c r="A722"/>
      <c r="B722"/>
      <c r="C722"/>
      <c r="D722"/>
      <c r="E722"/>
      <c r="F722"/>
      <c r="G722"/>
    </row>
    <row r="723" spans="1:7" x14ac:dyDescent="0.25">
      <c r="A723"/>
      <c r="B723"/>
      <c r="C723"/>
      <c r="D723"/>
      <c r="E723"/>
      <c r="F723"/>
      <c r="G723"/>
    </row>
    <row r="724" spans="1:7" x14ac:dyDescent="0.25">
      <c r="A724"/>
      <c r="B724"/>
      <c r="C724"/>
      <c r="D724"/>
      <c r="E724"/>
      <c r="F724"/>
      <c r="G724"/>
    </row>
    <row r="725" spans="1:7" x14ac:dyDescent="0.25">
      <c r="A725"/>
      <c r="B725"/>
      <c r="C725"/>
      <c r="D725"/>
      <c r="E725"/>
      <c r="F725"/>
      <c r="G725"/>
    </row>
    <row r="726" spans="1:7" x14ac:dyDescent="0.25">
      <c r="A726"/>
      <c r="B726"/>
      <c r="C726"/>
      <c r="D726"/>
      <c r="E726"/>
      <c r="F726"/>
      <c r="G726"/>
    </row>
    <row r="727" spans="1:7" x14ac:dyDescent="0.25">
      <c r="A727"/>
      <c r="B727"/>
      <c r="C727"/>
      <c r="D727"/>
      <c r="E727"/>
      <c r="F727"/>
      <c r="G727"/>
    </row>
    <row r="728" spans="1:7" x14ac:dyDescent="0.25">
      <c r="A728"/>
      <c r="B728"/>
      <c r="C728"/>
      <c r="D728"/>
      <c r="E728"/>
      <c r="F728"/>
      <c r="G728"/>
    </row>
    <row r="729" spans="1:7" x14ac:dyDescent="0.25">
      <c r="A729"/>
      <c r="B729"/>
      <c r="C729"/>
      <c r="D729"/>
      <c r="E729"/>
      <c r="F729"/>
      <c r="G729"/>
    </row>
    <row r="730" spans="1:7" x14ac:dyDescent="0.25">
      <c r="A730"/>
      <c r="B730"/>
      <c r="C730"/>
      <c r="D730"/>
      <c r="E730"/>
      <c r="F730"/>
      <c r="G730"/>
    </row>
    <row r="731" spans="1:7" x14ac:dyDescent="0.25">
      <c r="A731"/>
      <c r="B731"/>
      <c r="C731"/>
      <c r="D731"/>
      <c r="E731"/>
      <c r="F731"/>
      <c r="G731"/>
    </row>
    <row r="732" spans="1:7" x14ac:dyDescent="0.25">
      <c r="A732"/>
      <c r="B732"/>
      <c r="C732"/>
      <c r="D732"/>
      <c r="E732"/>
      <c r="F732"/>
      <c r="G732"/>
    </row>
    <row r="733" spans="1:7" x14ac:dyDescent="0.25">
      <c r="A733"/>
      <c r="B733"/>
      <c r="C733"/>
      <c r="D733"/>
      <c r="E733"/>
      <c r="F733"/>
      <c r="G733"/>
    </row>
    <row r="734" spans="1:7" x14ac:dyDescent="0.25">
      <c r="A734"/>
      <c r="B734"/>
      <c r="C734"/>
      <c r="D734"/>
      <c r="E734"/>
      <c r="F734"/>
      <c r="G734"/>
    </row>
    <row r="735" spans="1:7" x14ac:dyDescent="0.25">
      <c r="A735"/>
      <c r="B735"/>
      <c r="C735"/>
      <c r="D735"/>
      <c r="E735"/>
      <c r="F735"/>
      <c r="G735"/>
    </row>
    <row r="736" spans="1:7" x14ac:dyDescent="0.25">
      <c r="A736"/>
      <c r="B736"/>
      <c r="C736"/>
      <c r="D736"/>
      <c r="E736"/>
      <c r="F736"/>
      <c r="G736"/>
    </row>
    <row r="737" spans="1:7" x14ac:dyDescent="0.25">
      <c r="A737"/>
      <c r="B737"/>
      <c r="C737"/>
      <c r="D737"/>
      <c r="E737"/>
      <c r="F737"/>
      <c r="G737"/>
    </row>
    <row r="738" spans="1:7" x14ac:dyDescent="0.25">
      <c r="A738"/>
      <c r="B738"/>
      <c r="C738"/>
      <c r="D738"/>
      <c r="E738"/>
      <c r="F738"/>
      <c r="G738"/>
    </row>
    <row r="739" spans="1:7" x14ac:dyDescent="0.25">
      <c r="A739"/>
      <c r="B739"/>
      <c r="C739"/>
      <c r="D739"/>
      <c r="E739"/>
      <c r="F739"/>
      <c r="G739"/>
    </row>
    <row r="740" spans="1:7" x14ac:dyDescent="0.25">
      <c r="A740"/>
      <c r="B740"/>
      <c r="C740"/>
      <c r="D740"/>
      <c r="E740"/>
      <c r="F740"/>
      <c r="G740"/>
    </row>
    <row r="741" spans="1:7" x14ac:dyDescent="0.25">
      <c r="A741"/>
      <c r="B741"/>
      <c r="C741"/>
      <c r="D741"/>
      <c r="E741"/>
      <c r="F741"/>
      <c r="G741"/>
    </row>
    <row r="742" spans="1:7" x14ac:dyDescent="0.25">
      <c r="A742"/>
      <c r="B742"/>
      <c r="C742"/>
      <c r="D742"/>
      <c r="E742"/>
      <c r="F742"/>
      <c r="G742"/>
    </row>
    <row r="743" spans="1:7" x14ac:dyDescent="0.25">
      <c r="A743"/>
      <c r="B743"/>
      <c r="C743"/>
      <c r="D743"/>
      <c r="E743"/>
      <c r="F743"/>
      <c r="G743"/>
    </row>
    <row r="744" spans="1:7" x14ac:dyDescent="0.25">
      <c r="A744"/>
      <c r="B744"/>
      <c r="C744"/>
      <c r="D744"/>
      <c r="E744"/>
      <c r="F744"/>
      <c r="G744"/>
    </row>
    <row r="745" spans="1:7" x14ac:dyDescent="0.25">
      <c r="A745"/>
      <c r="B745"/>
      <c r="C745"/>
      <c r="D745"/>
      <c r="E745"/>
      <c r="F745"/>
      <c r="G745"/>
    </row>
    <row r="746" spans="1:7" x14ac:dyDescent="0.25">
      <c r="A746"/>
      <c r="B746"/>
      <c r="C746"/>
      <c r="D746"/>
      <c r="E746"/>
      <c r="F746"/>
      <c r="G746"/>
    </row>
    <row r="747" spans="1:7" x14ac:dyDescent="0.25">
      <c r="A747"/>
      <c r="B747"/>
      <c r="C747"/>
      <c r="D747"/>
      <c r="E747"/>
      <c r="F747"/>
      <c r="G747"/>
    </row>
    <row r="748" spans="1:7" x14ac:dyDescent="0.25">
      <c r="A748"/>
      <c r="B748"/>
      <c r="C748"/>
      <c r="D748"/>
      <c r="E748"/>
      <c r="F748"/>
      <c r="G748"/>
    </row>
    <row r="749" spans="1:7" x14ac:dyDescent="0.25">
      <c r="A749"/>
      <c r="B749"/>
      <c r="C749"/>
      <c r="D749"/>
      <c r="E749"/>
      <c r="F749"/>
      <c r="G749"/>
    </row>
    <row r="750" spans="1:7" x14ac:dyDescent="0.25">
      <c r="A750"/>
      <c r="B750"/>
      <c r="C750"/>
      <c r="D750"/>
      <c r="E750"/>
      <c r="F750"/>
      <c r="G750"/>
    </row>
    <row r="751" spans="1:7" x14ac:dyDescent="0.25">
      <c r="A751"/>
      <c r="B751"/>
      <c r="C751"/>
      <c r="D751"/>
      <c r="E751"/>
      <c r="F751"/>
      <c r="G751"/>
    </row>
    <row r="752" spans="1:7" x14ac:dyDescent="0.25">
      <c r="A752"/>
      <c r="B752"/>
      <c r="C752"/>
      <c r="D752"/>
      <c r="E752"/>
      <c r="F752"/>
      <c r="G752"/>
    </row>
    <row r="753" spans="1:8" x14ac:dyDescent="0.25">
      <c r="A753"/>
      <c r="B753"/>
      <c r="C753"/>
      <c r="D753"/>
      <c r="E753"/>
      <c r="F753"/>
      <c r="G753"/>
      <c r="H753" s="632"/>
    </row>
    <row r="754" spans="1:8" x14ac:dyDescent="0.25">
      <c r="A754"/>
      <c r="B754"/>
      <c r="C754"/>
      <c r="D754"/>
      <c r="E754"/>
      <c r="F754"/>
      <c r="G754"/>
    </row>
    <row r="755" spans="1:8" x14ac:dyDescent="0.25">
      <c r="A755"/>
      <c r="B755"/>
      <c r="C755"/>
      <c r="D755"/>
      <c r="E755"/>
      <c r="F755"/>
      <c r="G755"/>
    </row>
    <row r="756" spans="1:8" x14ac:dyDescent="0.25">
      <c r="A756"/>
      <c r="B756"/>
      <c r="C756"/>
      <c r="D756"/>
      <c r="E756"/>
      <c r="F756"/>
      <c r="G756"/>
    </row>
    <row r="757" spans="1:8" x14ac:dyDescent="0.25">
      <c r="A757"/>
      <c r="B757"/>
      <c r="C757"/>
      <c r="D757"/>
      <c r="E757"/>
      <c r="F757"/>
      <c r="G757"/>
    </row>
    <row r="758" spans="1:8" x14ac:dyDescent="0.25">
      <c r="A758"/>
      <c r="B758"/>
      <c r="C758"/>
      <c r="D758"/>
      <c r="E758"/>
      <c r="F758"/>
      <c r="G758"/>
    </row>
    <row r="759" spans="1:8" x14ac:dyDescent="0.25">
      <c r="A759"/>
      <c r="B759"/>
      <c r="C759"/>
      <c r="D759"/>
      <c r="E759"/>
      <c r="F759"/>
      <c r="G759"/>
    </row>
    <row r="760" spans="1:8" x14ac:dyDescent="0.25">
      <c r="A760"/>
      <c r="B760"/>
      <c r="C760"/>
      <c r="D760"/>
      <c r="E760"/>
      <c r="F760"/>
      <c r="G760"/>
    </row>
    <row r="761" spans="1:8" x14ac:dyDescent="0.25">
      <c r="A761"/>
      <c r="B761"/>
      <c r="C761"/>
      <c r="D761"/>
      <c r="E761"/>
      <c r="F761"/>
      <c r="G761"/>
    </row>
    <row r="762" spans="1:8" x14ac:dyDescent="0.25">
      <c r="A762"/>
      <c r="B762"/>
      <c r="C762"/>
      <c r="D762"/>
      <c r="E762"/>
      <c r="F762"/>
      <c r="G762"/>
    </row>
    <row r="763" spans="1:8" x14ac:dyDescent="0.25">
      <c r="A763"/>
      <c r="B763"/>
      <c r="C763"/>
      <c r="D763"/>
      <c r="E763"/>
      <c r="F763"/>
      <c r="G763"/>
    </row>
    <row r="764" spans="1:8" x14ac:dyDescent="0.25">
      <c r="A764"/>
      <c r="B764"/>
      <c r="C764"/>
      <c r="D764"/>
      <c r="E764"/>
      <c r="F764"/>
      <c r="G764"/>
    </row>
    <row r="765" spans="1:8" x14ac:dyDescent="0.25">
      <c r="A765"/>
      <c r="B765"/>
      <c r="C765"/>
      <c r="D765"/>
      <c r="E765"/>
      <c r="F765"/>
      <c r="G765"/>
    </row>
    <row r="766" spans="1:8" x14ac:dyDescent="0.25">
      <c r="A766"/>
      <c r="B766"/>
      <c r="C766"/>
      <c r="D766"/>
      <c r="E766"/>
      <c r="F766"/>
      <c r="G766"/>
    </row>
    <row r="767" spans="1:8" x14ac:dyDescent="0.25">
      <c r="A767"/>
      <c r="B767"/>
      <c r="C767"/>
      <c r="D767"/>
      <c r="E767"/>
      <c r="F767"/>
      <c r="G767"/>
    </row>
    <row r="768" spans="1:8" x14ac:dyDescent="0.25">
      <c r="A768"/>
      <c r="B768"/>
      <c r="C768"/>
      <c r="D768"/>
      <c r="E768"/>
      <c r="F768"/>
      <c r="G768"/>
    </row>
    <row r="769" spans="1:7" x14ac:dyDescent="0.25">
      <c r="A769"/>
      <c r="B769"/>
      <c r="C769"/>
      <c r="D769"/>
      <c r="E769"/>
      <c r="F769"/>
      <c r="G769"/>
    </row>
    <row r="770" spans="1:7" x14ac:dyDescent="0.25">
      <c r="A770"/>
      <c r="B770"/>
      <c r="C770"/>
      <c r="D770"/>
      <c r="E770"/>
      <c r="F770"/>
      <c r="G770"/>
    </row>
    <row r="771" spans="1:7" x14ac:dyDescent="0.25">
      <c r="A771"/>
      <c r="B771"/>
      <c r="C771"/>
      <c r="D771"/>
      <c r="E771"/>
      <c r="F771"/>
      <c r="G771"/>
    </row>
    <row r="772" spans="1:7" x14ac:dyDescent="0.25">
      <c r="A772"/>
      <c r="B772"/>
      <c r="C772"/>
      <c r="D772"/>
      <c r="E772"/>
      <c r="F772"/>
      <c r="G772"/>
    </row>
    <row r="773" spans="1:7" x14ac:dyDescent="0.25">
      <c r="A773"/>
      <c r="B773"/>
      <c r="C773"/>
      <c r="D773"/>
      <c r="E773"/>
      <c r="F773"/>
      <c r="G773"/>
    </row>
    <row r="774" spans="1:7" x14ac:dyDescent="0.25">
      <c r="A774"/>
      <c r="B774"/>
      <c r="C774"/>
      <c r="D774"/>
      <c r="E774"/>
      <c r="F774"/>
      <c r="G774"/>
    </row>
    <row r="775" spans="1:7" x14ac:dyDescent="0.25">
      <c r="A775"/>
      <c r="B775"/>
      <c r="C775"/>
      <c r="D775"/>
      <c r="E775"/>
      <c r="F775"/>
      <c r="G775"/>
    </row>
    <row r="776" spans="1:7" x14ac:dyDescent="0.25">
      <c r="A776"/>
      <c r="B776"/>
      <c r="C776"/>
      <c r="D776"/>
      <c r="E776"/>
      <c r="F776"/>
      <c r="G776"/>
    </row>
    <row r="777" spans="1:7" x14ac:dyDescent="0.25">
      <c r="A777"/>
      <c r="B777"/>
      <c r="C777"/>
      <c r="D777"/>
      <c r="E777"/>
      <c r="F777"/>
      <c r="G777"/>
    </row>
    <row r="778" spans="1:7" x14ac:dyDescent="0.25">
      <c r="A778"/>
      <c r="B778"/>
      <c r="C778"/>
      <c r="D778"/>
      <c r="E778"/>
      <c r="F778"/>
      <c r="G778"/>
    </row>
    <row r="779" spans="1:7" x14ac:dyDescent="0.25">
      <c r="A779"/>
      <c r="B779"/>
      <c r="C779"/>
      <c r="D779"/>
      <c r="E779"/>
      <c r="F779"/>
      <c r="G779"/>
    </row>
    <row r="780" spans="1:7" x14ac:dyDescent="0.25">
      <c r="A780"/>
      <c r="B780"/>
      <c r="C780"/>
      <c r="D780"/>
      <c r="E780"/>
      <c r="F780"/>
      <c r="G780"/>
    </row>
    <row r="781" spans="1:7" x14ac:dyDescent="0.25">
      <c r="A781"/>
      <c r="B781"/>
      <c r="C781"/>
      <c r="D781"/>
      <c r="E781"/>
      <c r="F781"/>
      <c r="G781"/>
    </row>
    <row r="782" spans="1:7" x14ac:dyDescent="0.25">
      <c r="A782"/>
      <c r="B782"/>
      <c r="C782"/>
      <c r="D782"/>
      <c r="E782"/>
      <c r="F782"/>
      <c r="G782"/>
    </row>
    <row r="783" spans="1:7" x14ac:dyDescent="0.25">
      <c r="A783"/>
      <c r="B783"/>
      <c r="C783"/>
      <c r="D783"/>
      <c r="E783"/>
      <c r="F783"/>
      <c r="G783"/>
    </row>
    <row r="784" spans="1:7" x14ac:dyDescent="0.25">
      <c r="A784"/>
      <c r="B784"/>
      <c r="C784"/>
      <c r="D784"/>
      <c r="E784"/>
      <c r="F784"/>
      <c r="G784"/>
    </row>
    <row r="785" spans="1:7" x14ac:dyDescent="0.25">
      <c r="A785"/>
      <c r="B785"/>
      <c r="C785"/>
      <c r="D785"/>
      <c r="E785"/>
      <c r="F785"/>
      <c r="G785"/>
    </row>
    <row r="786" spans="1:7" x14ac:dyDescent="0.25">
      <c r="A786"/>
      <c r="B786"/>
      <c r="C786"/>
      <c r="D786"/>
      <c r="E786"/>
      <c r="F786"/>
      <c r="G786"/>
    </row>
    <row r="787" spans="1:7" x14ac:dyDescent="0.25">
      <c r="A787"/>
      <c r="B787"/>
      <c r="C787"/>
      <c r="D787"/>
      <c r="E787"/>
      <c r="F787"/>
      <c r="G787"/>
    </row>
    <row r="788" spans="1:7" x14ac:dyDescent="0.25">
      <c r="A788"/>
      <c r="B788"/>
      <c r="C788"/>
      <c r="D788"/>
      <c r="E788"/>
      <c r="F788"/>
      <c r="G788"/>
    </row>
    <row r="789" spans="1:7" x14ac:dyDescent="0.25">
      <c r="A789"/>
      <c r="B789"/>
      <c r="C789"/>
      <c r="D789"/>
      <c r="E789"/>
      <c r="F789"/>
      <c r="G789"/>
    </row>
    <row r="790" spans="1:7" x14ac:dyDescent="0.25">
      <c r="A790"/>
      <c r="B790"/>
      <c r="C790"/>
      <c r="D790"/>
      <c r="E790"/>
      <c r="F790"/>
      <c r="G790"/>
    </row>
    <row r="791" spans="1:7" x14ac:dyDescent="0.25">
      <c r="A791"/>
      <c r="B791"/>
      <c r="C791"/>
      <c r="D791"/>
      <c r="E791"/>
      <c r="F791"/>
      <c r="G791"/>
    </row>
    <row r="792" spans="1:7" x14ac:dyDescent="0.25">
      <c r="A792"/>
      <c r="B792"/>
      <c r="C792"/>
      <c r="D792"/>
      <c r="E792"/>
      <c r="F792"/>
      <c r="G792"/>
    </row>
    <row r="793" spans="1:7" x14ac:dyDescent="0.25">
      <c r="A793"/>
      <c r="B793"/>
      <c r="C793"/>
      <c r="D793"/>
      <c r="E793"/>
      <c r="F793"/>
      <c r="G793"/>
    </row>
    <row r="794" spans="1:7" x14ac:dyDescent="0.25">
      <c r="A794"/>
      <c r="B794"/>
      <c r="C794"/>
      <c r="D794"/>
      <c r="E794"/>
      <c r="F794"/>
      <c r="G794"/>
    </row>
    <row r="795" spans="1:7" x14ac:dyDescent="0.25">
      <c r="A795"/>
      <c r="B795"/>
      <c r="C795"/>
      <c r="D795"/>
      <c r="E795"/>
      <c r="F795"/>
      <c r="G795"/>
    </row>
    <row r="796" spans="1:7" x14ac:dyDescent="0.25">
      <c r="A796"/>
      <c r="B796"/>
      <c r="C796"/>
      <c r="D796"/>
      <c r="E796"/>
      <c r="F796"/>
      <c r="G796"/>
    </row>
    <row r="797" spans="1:7" x14ac:dyDescent="0.25">
      <c r="A797"/>
      <c r="B797"/>
      <c r="C797"/>
      <c r="D797"/>
      <c r="E797"/>
      <c r="F797"/>
      <c r="G797"/>
    </row>
    <row r="798" spans="1:7" x14ac:dyDescent="0.25">
      <c r="A798"/>
      <c r="B798"/>
      <c r="C798"/>
      <c r="D798"/>
      <c r="E798"/>
      <c r="F798"/>
      <c r="G798"/>
    </row>
    <row r="799" spans="1:7" x14ac:dyDescent="0.25">
      <c r="A799"/>
      <c r="B799"/>
      <c r="C799"/>
      <c r="D799"/>
      <c r="E799"/>
      <c r="F799"/>
      <c r="G799"/>
    </row>
    <row r="800" spans="1:7" x14ac:dyDescent="0.25">
      <c r="A800"/>
      <c r="B800"/>
      <c r="C800"/>
      <c r="D800"/>
      <c r="E800"/>
      <c r="F800"/>
      <c r="G800"/>
    </row>
    <row r="801" spans="1:7" x14ac:dyDescent="0.25">
      <c r="A801"/>
      <c r="B801"/>
      <c r="C801"/>
      <c r="D801"/>
      <c r="E801"/>
      <c r="F801"/>
      <c r="G801"/>
    </row>
    <row r="802" spans="1:7" x14ac:dyDescent="0.25">
      <c r="A802"/>
      <c r="B802"/>
      <c r="C802"/>
      <c r="D802"/>
      <c r="E802"/>
      <c r="F802"/>
      <c r="G802"/>
    </row>
    <row r="803" spans="1:7" x14ac:dyDescent="0.25">
      <c r="A803"/>
      <c r="B803"/>
      <c r="C803"/>
      <c r="D803"/>
      <c r="E803"/>
      <c r="F803"/>
      <c r="G803"/>
    </row>
    <row r="804" spans="1:7" x14ac:dyDescent="0.25">
      <c r="A804"/>
      <c r="B804"/>
      <c r="C804"/>
      <c r="D804"/>
      <c r="E804"/>
      <c r="F804"/>
      <c r="G804"/>
    </row>
    <row r="805" spans="1:7" x14ac:dyDescent="0.25">
      <c r="A805"/>
      <c r="B805"/>
      <c r="C805"/>
      <c r="D805"/>
      <c r="E805"/>
      <c r="F805"/>
      <c r="G805"/>
    </row>
    <row r="806" spans="1:7" x14ac:dyDescent="0.25">
      <c r="A806"/>
      <c r="B806"/>
      <c r="C806"/>
      <c r="D806"/>
      <c r="E806"/>
      <c r="F806"/>
      <c r="G806"/>
    </row>
    <row r="807" spans="1:7" x14ac:dyDescent="0.25">
      <c r="A807"/>
      <c r="B807"/>
      <c r="C807"/>
      <c r="D807"/>
      <c r="E807"/>
      <c r="F807"/>
      <c r="G807"/>
    </row>
    <row r="808" spans="1:7" x14ac:dyDescent="0.25">
      <c r="A808"/>
      <c r="B808"/>
      <c r="C808"/>
      <c r="D808"/>
      <c r="E808"/>
      <c r="F808"/>
      <c r="G808"/>
    </row>
    <row r="809" spans="1:7" x14ac:dyDescent="0.25">
      <c r="A809"/>
      <c r="B809"/>
      <c r="C809"/>
      <c r="D809"/>
      <c r="E809"/>
      <c r="F809"/>
      <c r="G809"/>
    </row>
    <row r="810" spans="1:7" x14ac:dyDescent="0.25">
      <c r="A810"/>
      <c r="B810"/>
      <c r="C810"/>
      <c r="D810"/>
      <c r="E810"/>
      <c r="F810"/>
      <c r="G810"/>
    </row>
    <row r="811" spans="1:7" x14ac:dyDescent="0.25">
      <c r="A811"/>
      <c r="B811"/>
      <c r="C811"/>
      <c r="D811"/>
      <c r="E811"/>
      <c r="F811"/>
      <c r="G811"/>
    </row>
    <row r="812" spans="1:7" x14ac:dyDescent="0.25">
      <c r="A812"/>
      <c r="B812"/>
      <c r="C812"/>
      <c r="D812"/>
      <c r="E812"/>
      <c r="F812"/>
      <c r="G812"/>
    </row>
    <row r="813" spans="1:7" x14ac:dyDescent="0.25">
      <c r="A813"/>
      <c r="B813"/>
      <c r="C813"/>
      <c r="D813"/>
      <c r="E813"/>
      <c r="F813"/>
      <c r="G813"/>
    </row>
    <row r="814" spans="1:7" x14ac:dyDescent="0.25">
      <c r="A814"/>
      <c r="B814"/>
      <c r="C814"/>
      <c r="D814"/>
      <c r="E814"/>
      <c r="F814"/>
      <c r="G814"/>
    </row>
    <row r="815" spans="1:7" x14ac:dyDescent="0.25">
      <c r="A815"/>
      <c r="B815"/>
      <c r="C815"/>
      <c r="D815"/>
      <c r="E815"/>
      <c r="F815"/>
      <c r="G815"/>
    </row>
    <row r="816" spans="1:7" x14ac:dyDescent="0.25">
      <c r="A816"/>
      <c r="B816"/>
      <c r="C816"/>
      <c r="D816"/>
      <c r="E816"/>
      <c r="F816"/>
      <c r="G816"/>
    </row>
    <row r="817" spans="1:7" x14ac:dyDescent="0.25">
      <c r="A817"/>
      <c r="B817"/>
      <c r="C817"/>
      <c r="D817"/>
      <c r="E817"/>
      <c r="F817"/>
      <c r="G817"/>
    </row>
    <row r="818" spans="1:7" x14ac:dyDescent="0.25">
      <c r="A818"/>
      <c r="B818"/>
      <c r="C818"/>
      <c r="D818"/>
      <c r="E818"/>
      <c r="F818"/>
      <c r="G818"/>
    </row>
    <row r="819" spans="1:7" x14ac:dyDescent="0.25">
      <c r="A819"/>
      <c r="B819"/>
      <c r="C819"/>
      <c r="D819"/>
      <c r="E819"/>
      <c r="F819"/>
      <c r="G819"/>
    </row>
    <row r="820" spans="1:7" x14ac:dyDescent="0.25">
      <c r="A820"/>
      <c r="B820"/>
      <c r="C820"/>
      <c r="D820"/>
      <c r="E820"/>
      <c r="F820"/>
      <c r="G820"/>
    </row>
    <row r="821" spans="1:7" x14ac:dyDescent="0.25">
      <c r="A821"/>
      <c r="B821"/>
      <c r="C821"/>
      <c r="D821"/>
      <c r="E821"/>
      <c r="F821"/>
      <c r="G821"/>
    </row>
    <row r="822" spans="1:7" x14ac:dyDescent="0.25">
      <c r="A822"/>
      <c r="B822"/>
      <c r="C822"/>
      <c r="D822"/>
      <c r="E822"/>
      <c r="F822"/>
      <c r="G822"/>
    </row>
    <row r="823" spans="1:7" x14ac:dyDescent="0.25">
      <c r="A823"/>
      <c r="B823"/>
      <c r="C823"/>
      <c r="D823"/>
      <c r="E823"/>
      <c r="F823"/>
      <c r="G823"/>
    </row>
    <row r="824" spans="1:7" x14ac:dyDescent="0.25">
      <c r="A824"/>
      <c r="B824"/>
      <c r="C824"/>
      <c r="D824"/>
      <c r="E824"/>
      <c r="F824"/>
      <c r="G824"/>
    </row>
    <row r="825" spans="1:7" x14ac:dyDescent="0.25">
      <c r="A825"/>
      <c r="B825"/>
      <c r="C825"/>
      <c r="D825"/>
      <c r="E825"/>
      <c r="F825"/>
      <c r="G825"/>
    </row>
    <row r="826" spans="1:7" x14ac:dyDescent="0.25">
      <c r="A826"/>
      <c r="B826"/>
      <c r="C826"/>
      <c r="D826"/>
      <c r="E826"/>
      <c r="F826"/>
      <c r="G826"/>
    </row>
    <row r="827" spans="1:7" x14ac:dyDescent="0.25">
      <c r="A827"/>
      <c r="B827"/>
      <c r="C827"/>
      <c r="D827"/>
      <c r="E827"/>
      <c r="F827"/>
      <c r="G827"/>
    </row>
    <row r="828" spans="1:7" x14ac:dyDescent="0.25">
      <c r="A828"/>
      <c r="B828"/>
      <c r="C828"/>
      <c r="D828"/>
      <c r="E828"/>
      <c r="F828"/>
      <c r="G828"/>
    </row>
    <row r="829" spans="1:7" x14ac:dyDescent="0.25">
      <c r="A829"/>
      <c r="B829"/>
      <c r="C829"/>
      <c r="D829"/>
      <c r="E829"/>
      <c r="F829"/>
      <c r="G829"/>
    </row>
    <row r="830" spans="1:7" x14ac:dyDescent="0.25">
      <c r="A830"/>
      <c r="B830"/>
      <c r="C830"/>
      <c r="D830"/>
      <c r="E830"/>
      <c r="F830"/>
      <c r="G830"/>
    </row>
    <row r="831" spans="1:7" x14ac:dyDescent="0.25">
      <c r="A831"/>
      <c r="B831"/>
      <c r="C831"/>
      <c r="D831"/>
      <c r="E831"/>
      <c r="F831"/>
      <c r="G831"/>
    </row>
    <row r="832" spans="1:7" x14ac:dyDescent="0.25">
      <c r="A832"/>
      <c r="B832"/>
      <c r="C832"/>
      <c r="D832"/>
      <c r="E832"/>
      <c r="F832"/>
      <c r="G832"/>
    </row>
    <row r="833" spans="1:7" x14ac:dyDescent="0.25">
      <c r="A833"/>
      <c r="B833"/>
      <c r="C833"/>
      <c r="D833"/>
      <c r="E833"/>
      <c r="F833"/>
      <c r="G833"/>
    </row>
    <row r="834" spans="1:7" x14ac:dyDescent="0.25">
      <c r="A834"/>
      <c r="B834"/>
      <c r="C834"/>
      <c r="D834"/>
      <c r="E834"/>
      <c r="F834"/>
      <c r="G834"/>
    </row>
    <row r="835" spans="1:7" x14ac:dyDescent="0.25">
      <c r="A835"/>
      <c r="B835"/>
      <c r="C835"/>
      <c r="D835"/>
      <c r="E835"/>
      <c r="F835"/>
      <c r="G835"/>
    </row>
    <row r="836" spans="1:7" x14ac:dyDescent="0.25">
      <c r="A836"/>
      <c r="B836"/>
      <c r="C836"/>
      <c r="D836"/>
      <c r="E836"/>
      <c r="F836"/>
      <c r="G836"/>
    </row>
    <row r="837" spans="1:7" x14ac:dyDescent="0.25">
      <c r="A837"/>
      <c r="B837"/>
      <c r="C837"/>
      <c r="D837"/>
      <c r="E837"/>
      <c r="F837"/>
      <c r="G837"/>
    </row>
    <row r="838" spans="1:7" x14ac:dyDescent="0.25">
      <c r="A838"/>
      <c r="B838"/>
      <c r="C838"/>
      <c r="D838"/>
      <c r="E838"/>
      <c r="F838"/>
      <c r="G838"/>
    </row>
    <row r="839" spans="1:7" x14ac:dyDescent="0.25">
      <c r="A839"/>
      <c r="B839"/>
      <c r="C839"/>
      <c r="D839"/>
      <c r="E839"/>
      <c r="F839"/>
      <c r="G839"/>
    </row>
    <row r="840" spans="1:7" x14ac:dyDescent="0.25">
      <c r="A840"/>
      <c r="B840"/>
      <c r="C840"/>
      <c r="D840"/>
      <c r="E840"/>
      <c r="F840"/>
      <c r="G840"/>
    </row>
    <row r="841" spans="1:7" x14ac:dyDescent="0.25">
      <c r="A841"/>
      <c r="B841"/>
      <c r="C841"/>
      <c r="D841"/>
      <c r="E841"/>
      <c r="F841"/>
      <c r="G841"/>
    </row>
    <row r="842" spans="1:7" x14ac:dyDescent="0.25">
      <c r="A842"/>
      <c r="B842"/>
      <c r="C842"/>
      <c r="D842"/>
      <c r="E842"/>
      <c r="F842"/>
      <c r="G842"/>
    </row>
    <row r="843" spans="1:7" x14ac:dyDescent="0.25">
      <c r="A843"/>
      <c r="B843"/>
      <c r="C843"/>
      <c r="D843"/>
      <c r="E843"/>
      <c r="F843"/>
      <c r="G843"/>
    </row>
    <row r="844" spans="1:7" x14ac:dyDescent="0.25">
      <c r="A844"/>
      <c r="B844"/>
      <c r="C844"/>
      <c r="D844"/>
      <c r="E844"/>
      <c r="F844"/>
      <c r="G844"/>
    </row>
    <row r="845" spans="1:7" x14ac:dyDescent="0.25">
      <c r="A845"/>
      <c r="B845"/>
      <c r="C845"/>
      <c r="D845"/>
      <c r="E845"/>
      <c r="F845"/>
      <c r="G845"/>
    </row>
    <row r="846" spans="1:7" x14ac:dyDescent="0.25">
      <c r="A846"/>
      <c r="B846"/>
      <c r="C846"/>
      <c r="D846"/>
      <c r="E846"/>
      <c r="F846"/>
      <c r="G846"/>
    </row>
    <row r="847" spans="1:7" x14ac:dyDescent="0.25">
      <c r="A847"/>
      <c r="B847"/>
      <c r="C847"/>
      <c r="D847"/>
      <c r="E847"/>
      <c r="F847"/>
      <c r="G847"/>
    </row>
    <row r="848" spans="1:7" x14ac:dyDescent="0.25">
      <c r="A848"/>
      <c r="B848"/>
      <c r="C848"/>
      <c r="D848"/>
      <c r="E848"/>
      <c r="F848"/>
      <c r="G848"/>
    </row>
    <row r="849" spans="1:7" x14ac:dyDescent="0.25">
      <c r="A849"/>
      <c r="B849"/>
      <c r="C849"/>
      <c r="D849"/>
      <c r="E849"/>
      <c r="F849"/>
      <c r="G849"/>
    </row>
    <row r="850" spans="1:7" x14ac:dyDescent="0.25">
      <c r="A850"/>
      <c r="B850"/>
      <c r="C850"/>
      <c r="D850"/>
      <c r="E850"/>
      <c r="F850"/>
      <c r="G850"/>
    </row>
    <row r="851" spans="1:7" x14ac:dyDescent="0.25">
      <c r="A851"/>
      <c r="B851"/>
      <c r="C851"/>
      <c r="D851"/>
      <c r="E851"/>
      <c r="F851"/>
      <c r="G851"/>
    </row>
    <row r="852" spans="1:7" x14ac:dyDescent="0.25">
      <c r="A852"/>
      <c r="B852"/>
      <c r="C852"/>
      <c r="D852"/>
      <c r="E852"/>
      <c r="F852"/>
      <c r="G852"/>
    </row>
    <row r="853" spans="1:7" x14ac:dyDescent="0.25">
      <c r="A853"/>
      <c r="B853"/>
      <c r="C853"/>
      <c r="D853"/>
      <c r="E853"/>
      <c r="F853"/>
      <c r="G853"/>
    </row>
    <row r="854" spans="1:7" x14ac:dyDescent="0.25">
      <c r="A854"/>
      <c r="B854"/>
      <c r="C854"/>
      <c r="D854"/>
      <c r="E854"/>
      <c r="F854"/>
      <c r="G854"/>
    </row>
    <row r="855" spans="1:7" x14ac:dyDescent="0.25">
      <c r="A855"/>
      <c r="B855"/>
      <c r="C855"/>
      <c r="D855"/>
      <c r="E855"/>
      <c r="F855"/>
      <c r="G855"/>
    </row>
    <row r="856" spans="1:7" x14ac:dyDescent="0.25">
      <c r="A856"/>
      <c r="B856"/>
      <c r="C856"/>
      <c r="D856"/>
      <c r="E856"/>
      <c r="F856"/>
      <c r="G856"/>
    </row>
    <row r="857" spans="1:7" x14ac:dyDescent="0.25">
      <c r="A857"/>
      <c r="B857"/>
      <c r="C857"/>
      <c r="D857"/>
      <c r="E857"/>
      <c r="F857"/>
      <c r="G857"/>
    </row>
    <row r="858" spans="1:7" x14ac:dyDescent="0.25">
      <c r="A858"/>
      <c r="B858"/>
      <c r="C858"/>
      <c r="D858"/>
      <c r="E858"/>
      <c r="F858"/>
      <c r="G858"/>
    </row>
    <row r="859" spans="1:7" x14ac:dyDescent="0.25">
      <c r="A859"/>
      <c r="B859"/>
      <c r="C859"/>
      <c r="D859"/>
      <c r="E859"/>
      <c r="F859"/>
      <c r="G859"/>
    </row>
    <row r="860" spans="1:7" x14ac:dyDescent="0.25">
      <c r="A860"/>
      <c r="B860"/>
      <c r="C860"/>
      <c r="D860"/>
      <c r="E860"/>
      <c r="F860"/>
      <c r="G860"/>
    </row>
    <row r="861" spans="1:7" x14ac:dyDescent="0.25">
      <c r="A861"/>
      <c r="B861"/>
      <c r="C861"/>
      <c r="D861"/>
      <c r="E861"/>
      <c r="F861"/>
      <c r="G861"/>
    </row>
    <row r="862" spans="1:7" x14ac:dyDescent="0.25">
      <c r="A862"/>
      <c r="B862"/>
      <c r="C862"/>
      <c r="D862"/>
      <c r="E862"/>
      <c r="F862"/>
      <c r="G862"/>
    </row>
    <row r="863" spans="1:7" x14ac:dyDescent="0.25">
      <c r="A863"/>
      <c r="B863"/>
      <c r="C863"/>
      <c r="D863"/>
      <c r="E863"/>
      <c r="F863"/>
      <c r="G863"/>
    </row>
    <row r="864" spans="1:7" x14ac:dyDescent="0.25">
      <c r="A864"/>
      <c r="B864"/>
      <c r="C864"/>
      <c r="D864"/>
      <c r="E864"/>
      <c r="F864"/>
      <c r="G864"/>
    </row>
    <row r="865" spans="1:7" x14ac:dyDescent="0.25">
      <c r="A865"/>
      <c r="B865"/>
      <c r="C865"/>
      <c r="D865"/>
      <c r="E865"/>
      <c r="F865"/>
      <c r="G865"/>
    </row>
    <row r="866" spans="1:7" x14ac:dyDescent="0.25">
      <c r="A866"/>
      <c r="B866"/>
      <c r="C866"/>
      <c r="D866"/>
      <c r="E866"/>
      <c r="F866"/>
      <c r="G866"/>
    </row>
    <row r="867" spans="1:7" x14ac:dyDescent="0.25">
      <c r="A867"/>
      <c r="B867"/>
      <c r="C867"/>
      <c r="D867"/>
      <c r="E867"/>
      <c r="F867"/>
      <c r="G867"/>
    </row>
    <row r="868" spans="1:7" x14ac:dyDescent="0.25">
      <c r="A868"/>
      <c r="B868"/>
      <c r="C868"/>
      <c r="D868"/>
      <c r="E868"/>
      <c r="F868"/>
      <c r="G868"/>
    </row>
    <row r="869" spans="1:7" x14ac:dyDescent="0.25">
      <c r="A869"/>
      <c r="B869"/>
      <c r="C869"/>
      <c r="D869"/>
      <c r="E869"/>
      <c r="F869"/>
      <c r="G869"/>
    </row>
    <row r="870" spans="1:7" x14ac:dyDescent="0.25">
      <c r="A870"/>
      <c r="B870"/>
      <c r="C870"/>
      <c r="D870"/>
      <c r="E870"/>
      <c r="F870"/>
      <c r="G870"/>
    </row>
    <row r="871" spans="1:7" x14ac:dyDescent="0.25">
      <c r="A871"/>
      <c r="B871"/>
      <c r="C871"/>
      <c r="D871"/>
      <c r="E871"/>
      <c r="F871"/>
      <c r="G871"/>
    </row>
    <row r="872" spans="1:7" x14ac:dyDescent="0.25">
      <c r="A872"/>
      <c r="B872"/>
      <c r="C872"/>
      <c r="D872"/>
      <c r="E872"/>
      <c r="F872"/>
      <c r="G872"/>
    </row>
    <row r="873" spans="1:7" x14ac:dyDescent="0.25">
      <c r="A873"/>
      <c r="B873"/>
      <c r="C873"/>
      <c r="D873"/>
      <c r="E873"/>
      <c r="F873"/>
      <c r="G873"/>
    </row>
    <row r="874" spans="1:7" x14ac:dyDescent="0.25">
      <c r="A874"/>
      <c r="B874"/>
      <c r="C874"/>
      <c r="D874"/>
      <c r="E874"/>
      <c r="F874"/>
      <c r="G874"/>
    </row>
    <row r="875" spans="1:7" x14ac:dyDescent="0.25">
      <c r="A875"/>
      <c r="B875"/>
      <c r="C875"/>
      <c r="D875"/>
      <c r="E875"/>
      <c r="F875"/>
      <c r="G875"/>
    </row>
    <row r="876" spans="1:7" x14ac:dyDescent="0.25">
      <c r="A876"/>
      <c r="B876"/>
      <c r="C876"/>
      <c r="D876"/>
      <c r="E876"/>
      <c r="F876"/>
      <c r="G876"/>
    </row>
    <row r="877" spans="1:7" x14ac:dyDescent="0.25">
      <c r="A877"/>
      <c r="B877"/>
      <c r="C877"/>
      <c r="D877"/>
      <c r="E877"/>
      <c r="F877"/>
      <c r="G877"/>
    </row>
    <row r="878" spans="1:7" x14ac:dyDescent="0.25">
      <c r="A878"/>
      <c r="B878"/>
      <c r="C878"/>
      <c r="D878"/>
      <c r="E878"/>
      <c r="F878"/>
      <c r="G878"/>
    </row>
    <row r="879" spans="1:7" x14ac:dyDescent="0.25">
      <c r="A879"/>
      <c r="B879"/>
      <c r="C879"/>
      <c r="D879"/>
      <c r="E879"/>
      <c r="F879"/>
      <c r="G879"/>
    </row>
    <row r="880" spans="1:7" x14ac:dyDescent="0.25">
      <c r="A880"/>
      <c r="B880"/>
      <c r="C880"/>
      <c r="D880"/>
      <c r="E880"/>
      <c r="F880"/>
      <c r="G880"/>
    </row>
    <row r="881" spans="1:7" x14ac:dyDescent="0.25">
      <c r="A881"/>
      <c r="B881"/>
      <c r="C881"/>
      <c r="D881"/>
      <c r="E881"/>
      <c r="F881"/>
      <c r="G881"/>
    </row>
    <row r="882" spans="1:7" x14ac:dyDescent="0.25">
      <c r="A882"/>
      <c r="B882"/>
      <c r="C882"/>
      <c r="D882"/>
      <c r="E882"/>
      <c r="F882"/>
      <c r="G882"/>
    </row>
    <row r="883" spans="1:7" x14ac:dyDescent="0.25">
      <c r="A883"/>
      <c r="B883"/>
      <c r="C883"/>
      <c r="D883"/>
      <c r="E883"/>
      <c r="F883"/>
      <c r="G883"/>
    </row>
    <row r="884" spans="1:7" x14ac:dyDescent="0.25">
      <c r="A884"/>
      <c r="B884"/>
      <c r="C884"/>
      <c r="D884"/>
      <c r="E884"/>
      <c r="F884"/>
      <c r="G884"/>
    </row>
    <row r="885" spans="1:7" x14ac:dyDescent="0.25">
      <c r="A885"/>
      <c r="B885"/>
      <c r="C885"/>
      <c r="D885"/>
      <c r="E885"/>
      <c r="F885"/>
      <c r="G885"/>
    </row>
    <row r="886" spans="1:7" x14ac:dyDescent="0.25">
      <c r="A886"/>
      <c r="B886"/>
      <c r="C886"/>
      <c r="D886"/>
      <c r="E886"/>
      <c r="F886"/>
      <c r="G886"/>
    </row>
    <row r="887" spans="1:7" x14ac:dyDescent="0.25">
      <c r="A887"/>
      <c r="B887"/>
      <c r="C887"/>
      <c r="D887"/>
      <c r="E887"/>
      <c r="F887"/>
      <c r="G887"/>
    </row>
    <row r="888" spans="1:7" x14ac:dyDescent="0.25">
      <c r="A888"/>
      <c r="B888"/>
      <c r="C888"/>
      <c r="D888"/>
      <c r="E888"/>
      <c r="F888"/>
      <c r="G888"/>
    </row>
    <row r="889" spans="1:7" x14ac:dyDescent="0.25">
      <c r="A889"/>
      <c r="B889"/>
      <c r="C889"/>
      <c r="D889"/>
      <c r="E889"/>
      <c r="F889"/>
      <c r="G889"/>
    </row>
    <row r="890" spans="1:7" x14ac:dyDescent="0.25">
      <c r="A890"/>
      <c r="B890"/>
      <c r="C890"/>
      <c r="D890"/>
      <c r="E890"/>
      <c r="F890"/>
      <c r="G890"/>
    </row>
    <row r="891" spans="1:7" x14ac:dyDescent="0.25">
      <c r="A891"/>
      <c r="B891"/>
      <c r="C891"/>
      <c r="D891"/>
      <c r="E891"/>
      <c r="F891"/>
      <c r="G891"/>
    </row>
    <row r="892" spans="1:7" x14ac:dyDescent="0.25">
      <c r="A892"/>
      <c r="B892"/>
      <c r="C892"/>
      <c r="D892"/>
      <c r="E892"/>
      <c r="F892"/>
      <c r="G892"/>
    </row>
    <row r="893" spans="1:7" x14ac:dyDescent="0.25">
      <c r="A893"/>
      <c r="B893"/>
      <c r="C893"/>
      <c r="D893"/>
      <c r="E893"/>
      <c r="F893"/>
      <c r="G893"/>
    </row>
    <row r="894" spans="1:7" x14ac:dyDescent="0.25">
      <c r="A894"/>
      <c r="B894"/>
      <c r="C894"/>
      <c r="D894"/>
      <c r="E894"/>
      <c r="F894"/>
      <c r="G894"/>
    </row>
    <row r="895" spans="1:7" x14ac:dyDescent="0.25">
      <c r="A895"/>
      <c r="B895"/>
      <c r="C895"/>
      <c r="D895"/>
      <c r="E895"/>
      <c r="F895"/>
      <c r="G895"/>
    </row>
    <row r="896" spans="1:7" x14ac:dyDescent="0.25">
      <c r="A896"/>
      <c r="B896"/>
      <c r="C896"/>
      <c r="D896"/>
      <c r="E896"/>
      <c r="F896"/>
      <c r="G896"/>
    </row>
    <row r="897" spans="1:7" x14ac:dyDescent="0.25">
      <c r="A897"/>
      <c r="B897"/>
      <c r="C897"/>
      <c r="D897"/>
      <c r="E897"/>
      <c r="F897"/>
      <c r="G897"/>
    </row>
    <row r="898" spans="1:7" x14ac:dyDescent="0.25">
      <c r="A898"/>
      <c r="B898"/>
      <c r="C898"/>
      <c r="D898"/>
      <c r="E898"/>
      <c r="F898"/>
      <c r="G898"/>
    </row>
    <row r="899" spans="1:7" x14ac:dyDescent="0.25">
      <c r="A899"/>
      <c r="B899"/>
      <c r="C899"/>
      <c r="D899"/>
      <c r="E899"/>
      <c r="F899"/>
      <c r="G899"/>
    </row>
    <row r="900" spans="1:7" x14ac:dyDescent="0.25">
      <c r="A900"/>
      <c r="B900"/>
      <c r="C900"/>
      <c r="D900"/>
      <c r="E900"/>
      <c r="F900"/>
      <c r="G900"/>
    </row>
    <row r="901" spans="1:7" x14ac:dyDescent="0.25">
      <c r="A901"/>
      <c r="B901"/>
      <c r="C901"/>
      <c r="D901"/>
      <c r="E901"/>
      <c r="F901"/>
      <c r="G901"/>
    </row>
    <row r="902" spans="1:7" x14ac:dyDescent="0.25">
      <c r="A902"/>
      <c r="B902"/>
      <c r="C902"/>
      <c r="D902"/>
      <c r="E902"/>
      <c r="F902"/>
      <c r="G902"/>
    </row>
    <row r="903" spans="1:7" x14ac:dyDescent="0.25">
      <c r="A903"/>
      <c r="B903"/>
      <c r="C903"/>
      <c r="D903"/>
      <c r="E903"/>
      <c r="F903"/>
      <c r="G903"/>
    </row>
    <row r="904" spans="1:7" x14ac:dyDescent="0.25">
      <c r="A904"/>
      <c r="B904"/>
      <c r="C904"/>
      <c r="D904"/>
      <c r="E904"/>
      <c r="F904"/>
      <c r="G904"/>
    </row>
    <row r="905" spans="1:7" x14ac:dyDescent="0.25">
      <c r="A905"/>
      <c r="B905"/>
      <c r="C905"/>
      <c r="D905"/>
      <c r="E905"/>
      <c r="F905"/>
      <c r="G905"/>
    </row>
    <row r="906" spans="1:7" x14ac:dyDescent="0.25">
      <c r="A906"/>
      <c r="B906"/>
      <c r="C906"/>
      <c r="D906"/>
      <c r="E906"/>
      <c r="F906"/>
      <c r="G906"/>
    </row>
    <row r="907" spans="1:7" x14ac:dyDescent="0.25">
      <c r="A907"/>
      <c r="B907"/>
      <c r="C907"/>
      <c r="D907"/>
      <c r="E907"/>
      <c r="F907"/>
      <c r="G907"/>
    </row>
    <row r="908" spans="1:7" x14ac:dyDescent="0.25">
      <c r="A908"/>
      <c r="B908"/>
      <c r="C908"/>
      <c r="D908"/>
      <c r="E908"/>
      <c r="F908"/>
      <c r="G908"/>
    </row>
    <row r="909" spans="1:7" x14ac:dyDescent="0.25">
      <c r="A909"/>
      <c r="B909"/>
      <c r="C909"/>
      <c r="D909"/>
      <c r="E909"/>
      <c r="F909"/>
      <c r="G909"/>
    </row>
    <row r="910" spans="1:7" x14ac:dyDescent="0.25">
      <c r="A910"/>
      <c r="B910"/>
      <c r="C910"/>
      <c r="D910"/>
      <c r="E910"/>
      <c r="F910"/>
      <c r="G910"/>
    </row>
    <row r="911" spans="1:7" x14ac:dyDescent="0.25">
      <c r="A911"/>
      <c r="B911"/>
      <c r="C911"/>
      <c r="D911"/>
      <c r="E911"/>
      <c r="F911"/>
      <c r="G911"/>
    </row>
    <row r="912" spans="1:7" x14ac:dyDescent="0.25">
      <c r="A912"/>
      <c r="B912"/>
      <c r="C912"/>
      <c r="D912"/>
      <c r="E912"/>
      <c r="F912"/>
      <c r="G912"/>
    </row>
    <row r="913" spans="1:7" x14ac:dyDescent="0.25">
      <c r="A913"/>
      <c r="B913"/>
      <c r="C913"/>
      <c r="D913"/>
      <c r="E913"/>
      <c r="F913"/>
      <c r="G913"/>
    </row>
    <row r="914" spans="1:7" x14ac:dyDescent="0.25">
      <c r="A914"/>
      <c r="B914"/>
      <c r="C914"/>
      <c r="D914"/>
      <c r="E914"/>
      <c r="F914"/>
      <c r="G914"/>
    </row>
    <row r="915" spans="1:7" x14ac:dyDescent="0.25">
      <c r="A915"/>
      <c r="B915"/>
      <c r="C915"/>
      <c r="D915"/>
      <c r="E915"/>
      <c r="F915"/>
      <c r="G915"/>
    </row>
    <row r="916" spans="1:7" x14ac:dyDescent="0.25">
      <c r="A916"/>
      <c r="B916"/>
      <c r="C916"/>
      <c r="D916"/>
      <c r="E916"/>
      <c r="F916"/>
      <c r="G916"/>
    </row>
    <row r="917" spans="1:7" x14ac:dyDescent="0.25">
      <c r="A917"/>
      <c r="B917"/>
      <c r="C917"/>
      <c r="D917"/>
      <c r="E917"/>
      <c r="F917"/>
      <c r="G917"/>
    </row>
    <row r="918" spans="1:7" x14ac:dyDescent="0.25">
      <c r="A918"/>
      <c r="B918"/>
      <c r="C918"/>
      <c r="D918"/>
      <c r="E918"/>
      <c r="F918"/>
      <c r="G918"/>
    </row>
    <row r="919" spans="1:7" x14ac:dyDescent="0.25">
      <c r="A919"/>
      <c r="B919"/>
      <c r="C919"/>
      <c r="D919"/>
      <c r="E919"/>
      <c r="F919"/>
      <c r="G919"/>
    </row>
    <row r="920" spans="1:7" x14ac:dyDescent="0.25">
      <c r="A920"/>
      <c r="B920"/>
      <c r="C920"/>
      <c r="D920"/>
      <c r="E920"/>
      <c r="F920"/>
      <c r="G920"/>
    </row>
    <row r="921" spans="1:7" x14ac:dyDescent="0.25">
      <c r="A921"/>
      <c r="B921"/>
      <c r="C921"/>
      <c r="D921"/>
      <c r="E921"/>
      <c r="F921"/>
      <c r="G921"/>
    </row>
    <row r="922" spans="1:7" x14ac:dyDescent="0.25">
      <c r="A922"/>
      <c r="B922"/>
      <c r="C922"/>
      <c r="D922"/>
      <c r="E922"/>
      <c r="F922"/>
      <c r="G922"/>
    </row>
    <row r="923" spans="1:7" x14ac:dyDescent="0.25">
      <c r="A923"/>
      <c r="B923"/>
      <c r="C923"/>
      <c r="D923"/>
      <c r="E923"/>
      <c r="F923"/>
      <c r="G923"/>
    </row>
    <row r="924" spans="1:7" x14ac:dyDescent="0.25">
      <c r="A924"/>
      <c r="B924"/>
      <c r="C924"/>
      <c r="D924"/>
      <c r="E924"/>
      <c r="F924"/>
      <c r="G924"/>
    </row>
    <row r="925" spans="1:7" x14ac:dyDescent="0.25">
      <c r="A925"/>
      <c r="B925"/>
      <c r="C925"/>
      <c r="D925"/>
      <c r="E925"/>
      <c r="F925"/>
      <c r="G925"/>
    </row>
    <row r="926" spans="1:7" x14ac:dyDescent="0.25">
      <c r="A926"/>
      <c r="B926"/>
      <c r="C926"/>
      <c r="D926"/>
      <c r="E926"/>
      <c r="F926"/>
      <c r="G926"/>
    </row>
    <row r="927" spans="1:7" x14ac:dyDescent="0.25">
      <c r="A927"/>
      <c r="B927"/>
      <c r="C927"/>
      <c r="D927"/>
      <c r="E927"/>
      <c r="F927"/>
      <c r="G927"/>
    </row>
    <row r="928" spans="1:7" x14ac:dyDescent="0.25">
      <c r="A928"/>
      <c r="B928"/>
      <c r="C928"/>
      <c r="D928"/>
      <c r="E928"/>
      <c r="F928"/>
      <c r="G928"/>
    </row>
    <row r="929" spans="1:7" x14ac:dyDescent="0.25">
      <c r="A929"/>
      <c r="B929"/>
      <c r="C929"/>
      <c r="D929"/>
      <c r="E929"/>
      <c r="F929"/>
      <c r="G929"/>
    </row>
    <row r="930" spans="1:7" x14ac:dyDescent="0.25">
      <c r="A930"/>
      <c r="B930"/>
      <c r="C930"/>
      <c r="D930"/>
      <c r="E930"/>
      <c r="F930"/>
      <c r="G930"/>
    </row>
    <row r="931" spans="1:7" x14ac:dyDescent="0.25">
      <c r="A931"/>
      <c r="B931"/>
      <c r="C931"/>
      <c r="D931"/>
      <c r="E931"/>
      <c r="F931"/>
      <c r="G931"/>
    </row>
    <row r="932" spans="1:7" x14ac:dyDescent="0.25">
      <c r="A932"/>
      <c r="B932"/>
      <c r="C932"/>
      <c r="D932"/>
      <c r="E932"/>
      <c r="F932"/>
      <c r="G932"/>
    </row>
    <row r="933" spans="1:7" x14ac:dyDescent="0.25">
      <c r="A933"/>
      <c r="B933"/>
      <c r="C933"/>
      <c r="D933"/>
      <c r="E933"/>
      <c r="F933"/>
      <c r="G933"/>
    </row>
    <row r="934" spans="1:7" x14ac:dyDescent="0.25">
      <c r="A934"/>
      <c r="B934"/>
      <c r="C934"/>
      <c r="D934"/>
      <c r="E934"/>
      <c r="F934"/>
      <c r="G934"/>
    </row>
    <row r="935" spans="1:7" x14ac:dyDescent="0.25">
      <c r="A935"/>
      <c r="B935"/>
      <c r="C935"/>
      <c r="D935"/>
      <c r="E935"/>
      <c r="F935"/>
      <c r="G935"/>
    </row>
    <row r="936" spans="1:7" x14ac:dyDescent="0.25">
      <c r="A936"/>
      <c r="B936"/>
      <c r="C936"/>
      <c r="D936"/>
      <c r="E936"/>
      <c r="F936"/>
      <c r="G936"/>
    </row>
    <row r="937" spans="1:7" x14ac:dyDescent="0.25">
      <c r="A937"/>
      <c r="B937"/>
      <c r="C937"/>
      <c r="D937"/>
      <c r="E937"/>
      <c r="F937"/>
      <c r="G937"/>
    </row>
    <row r="938" spans="1:7" x14ac:dyDescent="0.25">
      <c r="A938"/>
      <c r="B938"/>
      <c r="C938"/>
      <c r="D938"/>
      <c r="E938"/>
      <c r="F938"/>
      <c r="G938"/>
    </row>
    <row r="939" spans="1:7" x14ac:dyDescent="0.25">
      <c r="A939"/>
      <c r="B939"/>
      <c r="C939"/>
      <c r="D939"/>
      <c r="E939"/>
      <c r="F939"/>
      <c r="G939"/>
    </row>
    <row r="940" spans="1:7" x14ac:dyDescent="0.25">
      <c r="A940"/>
      <c r="B940"/>
      <c r="C940"/>
      <c r="D940"/>
      <c r="E940"/>
      <c r="F940"/>
      <c r="G940"/>
    </row>
    <row r="941" spans="1:7" x14ac:dyDescent="0.25">
      <c r="A941"/>
      <c r="B941"/>
      <c r="C941"/>
      <c r="D941"/>
      <c r="E941"/>
      <c r="F941"/>
      <c r="G941"/>
    </row>
    <row r="942" spans="1:7" x14ac:dyDescent="0.25">
      <c r="A942"/>
      <c r="B942"/>
      <c r="C942"/>
      <c r="D942"/>
      <c r="E942"/>
      <c r="F942"/>
      <c r="G942"/>
    </row>
    <row r="943" spans="1:7" x14ac:dyDescent="0.25">
      <c r="A943"/>
      <c r="B943"/>
      <c r="C943"/>
      <c r="D943"/>
      <c r="E943"/>
      <c r="F943"/>
      <c r="G943"/>
    </row>
    <row r="944" spans="1:7" x14ac:dyDescent="0.25">
      <c r="A944"/>
      <c r="B944"/>
      <c r="C944"/>
      <c r="D944"/>
      <c r="E944"/>
      <c r="F944"/>
      <c r="G944"/>
    </row>
    <row r="945" spans="1:7" x14ac:dyDescent="0.25">
      <c r="A945"/>
      <c r="B945"/>
      <c r="C945"/>
      <c r="D945"/>
      <c r="E945"/>
      <c r="F945"/>
      <c r="G945"/>
    </row>
    <row r="946" spans="1:7" x14ac:dyDescent="0.25">
      <c r="A946"/>
      <c r="B946"/>
      <c r="C946"/>
      <c r="D946"/>
      <c r="E946"/>
      <c r="F946"/>
      <c r="G946"/>
    </row>
    <row r="947" spans="1:7" x14ac:dyDescent="0.25">
      <c r="A947"/>
      <c r="B947"/>
      <c r="C947"/>
      <c r="D947"/>
      <c r="E947"/>
      <c r="F947"/>
      <c r="G947"/>
    </row>
    <row r="948" spans="1:7" x14ac:dyDescent="0.25">
      <c r="A948"/>
      <c r="B948"/>
      <c r="C948"/>
      <c r="D948"/>
      <c r="E948"/>
      <c r="F948"/>
      <c r="G948"/>
    </row>
    <row r="949" spans="1:7" x14ac:dyDescent="0.25">
      <c r="A949"/>
      <c r="B949"/>
      <c r="C949"/>
      <c r="D949"/>
      <c r="E949"/>
      <c r="F949"/>
      <c r="G949"/>
    </row>
    <row r="950" spans="1:7" x14ac:dyDescent="0.25">
      <c r="A950"/>
      <c r="B950"/>
      <c r="C950"/>
      <c r="D950"/>
      <c r="E950"/>
      <c r="F950"/>
      <c r="G950"/>
    </row>
    <row r="951" spans="1:7" x14ac:dyDescent="0.25">
      <c r="A951"/>
      <c r="B951"/>
      <c r="C951"/>
      <c r="D951"/>
      <c r="E951"/>
      <c r="F951"/>
      <c r="G951"/>
    </row>
    <row r="952" spans="1:7" x14ac:dyDescent="0.25">
      <c r="A952"/>
      <c r="B952"/>
      <c r="C952"/>
      <c r="D952"/>
      <c r="E952"/>
      <c r="F952"/>
      <c r="G952"/>
    </row>
    <row r="953" spans="1:7" x14ac:dyDescent="0.25">
      <c r="A953"/>
      <c r="B953"/>
      <c r="C953"/>
      <c r="D953"/>
      <c r="E953"/>
      <c r="F953"/>
      <c r="G953"/>
    </row>
    <row r="954" spans="1:7" x14ac:dyDescent="0.25">
      <c r="A954"/>
      <c r="B954"/>
      <c r="C954"/>
      <c r="D954"/>
      <c r="E954"/>
      <c r="F954"/>
      <c r="G954"/>
    </row>
    <row r="955" spans="1:7" x14ac:dyDescent="0.25">
      <c r="A955"/>
      <c r="B955"/>
      <c r="C955"/>
      <c r="D955"/>
      <c r="E955"/>
      <c r="F955"/>
      <c r="G955"/>
    </row>
    <row r="956" spans="1:7" x14ac:dyDescent="0.25">
      <c r="A956"/>
      <c r="B956"/>
      <c r="C956"/>
      <c r="D956"/>
      <c r="E956"/>
      <c r="F956"/>
      <c r="G956"/>
    </row>
    <row r="957" spans="1:7" x14ac:dyDescent="0.25">
      <c r="A957"/>
      <c r="B957"/>
      <c r="C957"/>
      <c r="D957"/>
      <c r="E957"/>
      <c r="F957"/>
      <c r="G957"/>
    </row>
    <row r="958" spans="1:7" x14ac:dyDescent="0.25">
      <c r="A958"/>
      <c r="B958"/>
      <c r="C958"/>
      <c r="D958"/>
      <c r="E958"/>
      <c r="F958"/>
      <c r="G958"/>
    </row>
    <row r="959" spans="1:7" x14ac:dyDescent="0.25">
      <c r="A959"/>
      <c r="B959"/>
      <c r="C959"/>
      <c r="D959"/>
      <c r="E959"/>
      <c r="F959"/>
      <c r="G959"/>
    </row>
    <row r="960" spans="1:7" x14ac:dyDescent="0.25">
      <c r="A960"/>
      <c r="B960"/>
      <c r="C960"/>
      <c r="D960"/>
      <c r="E960"/>
      <c r="F960"/>
      <c r="G960"/>
    </row>
    <row r="961" spans="1:7" x14ac:dyDescent="0.25">
      <c r="A961"/>
      <c r="B961"/>
      <c r="C961"/>
      <c r="D961"/>
      <c r="E961"/>
      <c r="F961"/>
      <c r="G961"/>
    </row>
    <row r="962" spans="1:7" x14ac:dyDescent="0.25">
      <c r="A962"/>
      <c r="B962"/>
      <c r="C962"/>
      <c r="D962"/>
      <c r="E962"/>
      <c r="F962"/>
      <c r="G962"/>
    </row>
    <row r="963" spans="1:7" x14ac:dyDescent="0.25">
      <c r="A963"/>
      <c r="B963"/>
      <c r="C963"/>
      <c r="D963"/>
      <c r="E963"/>
      <c r="F963"/>
      <c r="G963"/>
    </row>
    <row r="964" spans="1:7" x14ac:dyDescent="0.25">
      <c r="A964"/>
      <c r="B964"/>
      <c r="C964"/>
      <c r="D964"/>
      <c r="E964"/>
      <c r="F964"/>
      <c r="G964"/>
    </row>
    <row r="965" spans="1:7" x14ac:dyDescent="0.25">
      <c r="A965"/>
      <c r="B965"/>
      <c r="C965"/>
      <c r="D965"/>
      <c r="E965"/>
      <c r="F965"/>
      <c r="G965"/>
    </row>
    <row r="966" spans="1:7" x14ac:dyDescent="0.25">
      <c r="A966"/>
      <c r="B966"/>
      <c r="C966"/>
      <c r="D966"/>
      <c r="E966"/>
      <c r="F966"/>
      <c r="G966"/>
    </row>
    <row r="967" spans="1:7" x14ac:dyDescent="0.25">
      <c r="A967"/>
      <c r="B967"/>
      <c r="C967"/>
      <c r="D967"/>
      <c r="E967"/>
      <c r="F967"/>
      <c r="G967"/>
    </row>
    <row r="968" spans="1:7" x14ac:dyDescent="0.25">
      <c r="A968"/>
      <c r="B968"/>
      <c r="C968"/>
      <c r="D968"/>
      <c r="E968"/>
      <c r="F968"/>
      <c r="G968"/>
    </row>
    <row r="969" spans="1:7" x14ac:dyDescent="0.25">
      <c r="A969"/>
      <c r="B969"/>
      <c r="C969"/>
      <c r="D969"/>
      <c r="E969"/>
      <c r="F969"/>
      <c r="G969"/>
    </row>
    <row r="970" spans="1:7" x14ac:dyDescent="0.25">
      <c r="A970"/>
      <c r="B970"/>
      <c r="C970"/>
      <c r="D970"/>
      <c r="E970"/>
      <c r="F970"/>
      <c r="G970"/>
    </row>
    <row r="971" spans="1:7" x14ac:dyDescent="0.25">
      <c r="A971"/>
      <c r="B971"/>
      <c r="C971"/>
      <c r="D971"/>
      <c r="E971"/>
      <c r="F971"/>
      <c r="G971"/>
    </row>
    <row r="972" spans="1:7" x14ac:dyDescent="0.25">
      <c r="A972"/>
      <c r="B972"/>
      <c r="C972"/>
      <c r="D972"/>
      <c r="E972"/>
      <c r="F972"/>
      <c r="G972"/>
    </row>
    <row r="973" spans="1:7" x14ac:dyDescent="0.25">
      <c r="A973"/>
      <c r="B973"/>
      <c r="C973"/>
      <c r="D973"/>
      <c r="E973"/>
      <c r="F973"/>
      <c r="G973"/>
    </row>
    <row r="974" spans="1:7" x14ac:dyDescent="0.25">
      <c r="A974"/>
      <c r="B974"/>
      <c r="C974"/>
      <c r="D974"/>
      <c r="E974"/>
      <c r="F974"/>
      <c r="G974"/>
    </row>
    <row r="975" spans="1:7" x14ac:dyDescent="0.25">
      <c r="A975"/>
      <c r="B975"/>
      <c r="C975"/>
      <c r="D975"/>
      <c r="E975"/>
      <c r="F975"/>
      <c r="G975"/>
    </row>
    <row r="976" spans="1:7" x14ac:dyDescent="0.25">
      <c r="A976"/>
      <c r="B976"/>
      <c r="C976"/>
      <c r="D976"/>
      <c r="E976"/>
      <c r="F976"/>
      <c r="G976"/>
    </row>
    <row r="977" spans="1:7" x14ac:dyDescent="0.25">
      <c r="A977"/>
      <c r="B977"/>
      <c r="C977"/>
      <c r="D977"/>
      <c r="E977"/>
      <c r="F977"/>
      <c r="G977"/>
    </row>
    <row r="978" spans="1:7" x14ac:dyDescent="0.25">
      <c r="A978"/>
      <c r="B978"/>
      <c r="C978"/>
      <c r="D978"/>
      <c r="E978"/>
      <c r="F978"/>
      <c r="G978"/>
    </row>
    <row r="979" spans="1:7" x14ac:dyDescent="0.25">
      <c r="A979"/>
      <c r="B979"/>
      <c r="C979"/>
      <c r="D979"/>
      <c r="E979"/>
      <c r="F979"/>
      <c r="G979"/>
    </row>
    <row r="980" spans="1:7" x14ac:dyDescent="0.25">
      <c r="A980"/>
      <c r="B980"/>
      <c r="C980"/>
      <c r="D980"/>
      <c r="E980"/>
      <c r="F980"/>
      <c r="G980"/>
    </row>
    <row r="981" spans="1:7" x14ac:dyDescent="0.25">
      <c r="A981"/>
      <c r="B981"/>
      <c r="C981"/>
      <c r="D981"/>
      <c r="E981"/>
      <c r="F981"/>
      <c r="G981"/>
    </row>
    <row r="982" spans="1:7" x14ac:dyDescent="0.25">
      <c r="A982"/>
      <c r="B982"/>
      <c r="C982"/>
      <c r="D982"/>
      <c r="E982"/>
      <c r="F982"/>
      <c r="G982"/>
    </row>
    <row r="983" spans="1:7" x14ac:dyDescent="0.25">
      <c r="A983"/>
      <c r="B983"/>
      <c r="C983"/>
      <c r="D983"/>
      <c r="E983"/>
      <c r="F983"/>
      <c r="G983"/>
    </row>
    <row r="984" spans="1:7" x14ac:dyDescent="0.25">
      <c r="A984"/>
      <c r="B984"/>
      <c r="C984"/>
      <c r="D984"/>
      <c r="E984"/>
      <c r="F984"/>
      <c r="G984"/>
    </row>
    <row r="985" spans="1:7" x14ac:dyDescent="0.25">
      <c r="A985"/>
      <c r="B985"/>
      <c r="C985"/>
      <c r="D985"/>
      <c r="E985"/>
      <c r="F985"/>
      <c r="G985"/>
    </row>
    <row r="986" spans="1:7" x14ac:dyDescent="0.25">
      <c r="A986"/>
      <c r="B986"/>
      <c r="C986"/>
      <c r="D986"/>
      <c r="E986"/>
      <c r="F986"/>
      <c r="G986"/>
    </row>
    <row r="987" spans="1:7" x14ac:dyDescent="0.25">
      <c r="A987"/>
      <c r="B987"/>
      <c r="C987"/>
      <c r="D987"/>
      <c r="E987"/>
      <c r="F987"/>
      <c r="G987"/>
    </row>
    <row r="988" spans="1:7" x14ac:dyDescent="0.25">
      <c r="A988"/>
      <c r="B988"/>
      <c r="C988"/>
      <c r="D988"/>
      <c r="E988"/>
      <c r="F988"/>
      <c r="G988"/>
    </row>
    <row r="989" spans="1:7" x14ac:dyDescent="0.25">
      <c r="A989"/>
      <c r="B989"/>
      <c r="C989"/>
      <c r="D989"/>
      <c r="E989"/>
      <c r="F989"/>
      <c r="G989"/>
    </row>
    <row r="990" spans="1:7" x14ac:dyDescent="0.25">
      <c r="A990"/>
      <c r="B990"/>
      <c r="C990"/>
      <c r="D990"/>
      <c r="E990"/>
      <c r="F990"/>
      <c r="G990"/>
    </row>
    <row r="991" spans="1:7" x14ac:dyDescent="0.25">
      <c r="A991"/>
      <c r="B991"/>
      <c r="C991"/>
      <c r="D991"/>
      <c r="E991"/>
      <c r="F991"/>
      <c r="G991"/>
    </row>
    <row r="992" spans="1:7" x14ac:dyDescent="0.25">
      <c r="A992"/>
      <c r="B992"/>
      <c r="C992"/>
      <c r="D992"/>
      <c r="E992"/>
      <c r="F992"/>
      <c r="G992"/>
    </row>
    <row r="993" spans="1:7" x14ac:dyDescent="0.25">
      <c r="A993"/>
      <c r="B993"/>
      <c r="C993"/>
      <c r="D993"/>
      <c r="E993"/>
      <c r="F993"/>
      <c r="G993"/>
    </row>
    <row r="994" spans="1:7" x14ac:dyDescent="0.25">
      <c r="A994"/>
      <c r="B994"/>
      <c r="C994"/>
      <c r="D994"/>
      <c r="E994"/>
      <c r="F994"/>
      <c r="G994"/>
    </row>
    <row r="995" spans="1:7" x14ac:dyDescent="0.25">
      <c r="A995"/>
      <c r="B995"/>
      <c r="C995"/>
      <c r="D995"/>
      <c r="E995"/>
      <c r="F995"/>
      <c r="G995"/>
    </row>
    <row r="996" spans="1:7" x14ac:dyDescent="0.25">
      <c r="A996"/>
      <c r="B996"/>
      <c r="C996"/>
      <c r="D996"/>
      <c r="E996"/>
      <c r="F996"/>
      <c r="G996"/>
    </row>
    <row r="997" spans="1:7" x14ac:dyDescent="0.25">
      <c r="A997"/>
      <c r="B997"/>
      <c r="C997"/>
      <c r="D997"/>
      <c r="E997"/>
      <c r="F997"/>
      <c r="G997"/>
    </row>
    <row r="998" spans="1:7" x14ac:dyDescent="0.25">
      <c r="A998"/>
      <c r="B998"/>
      <c r="C998"/>
      <c r="D998"/>
      <c r="E998"/>
      <c r="F998"/>
      <c r="G998"/>
    </row>
    <row r="999" spans="1:7" x14ac:dyDescent="0.25">
      <c r="A999"/>
      <c r="B999"/>
      <c r="C999"/>
      <c r="D999"/>
      <c r="E999"/>
      <c r="F999"/>
      <c r="G999"/>
    </row>
    <row r="1000" spans="1:7" x14ac:dyDescent="0.25">
      <c r="A1000"/>
      <c r="B1000"/>
      <c r="C1000"/>
      <c r="D1000"/>
      <c r="E1000"/>
      <c r="F1000"/>
      <c r="G1000"/>
    </row>
    <row r="1001" spans="1:7" x14ac:dyDescent="0.25">
      <c r="A1001"/>
      <c r="B1001"/>
      <c r="C1001"/>
      <c r="D1001"/>
      <c r="E1001"/>
      <c r="F1001"/>
      <c r="G1001"/>
    </row>
    <row r="1002" spans="1:7" x14ac:dyDescent="0.25">
      <c r="A1002"/>
      <c r="B1002"/>
      <c r="C1002"/>
      <c r="D1002"/>
      <c r="E1002"/>
      <c r="F1002"/>
      <c r="G1002"/>
    </row>
    <row r="1003" spans="1:7" x14ac:dyDescent="0.25">
      <c r="A1003"/>
      <c r="B1003"/>
      <c r="C1003"/>
      <c r="D1003"/>
      <c r="E1003"/>
      <c r="F1003"/>
      <c r="G1003"/>
    </row>
    <row r="1004" spans="1:7" x14ac:dyDescent="0.25">
      <c r="A1004"/>
      <c r="B1004"/>
      <c r="C1004"/>
      <c r="D1004"/>
      <c r="E1004"/>
      <c r="F1004"/>
      <c r="G1004"/>
    </row>
    <row r="1005" spans="1:7" x14ac:dyDescent="0.25">
      <c r="A1005"/>
      <c r="B1005"/>
      <c r="C1005"/>
      <c r="D1005"/>
      <c r="E1005"/>
      <c r="F1005"/>
      <c r="G1005"/>
    </row>
    <row r="1006" spans="1:7" x14ac:dyDescent="0.25">
      <c r="A1006"/>
      <c r="B1006"/>
      <c r="C1006"/>
      <c r="D1006"/>
      <c r="E1006"/>
      <c r="F1006"/>
      <c r="G1006"/>
    </row>
    <row r="1007" spans="1:7" x14ac:dyDescent="0.25">
      <c r="A1007"/>
      <c r="B1007"/>
      <c r="C1007"/>
      <c r="D1007"/>
      <c r="E1007"/>
      <c r="F1007"/>
      <c r="G1007"/>
    </row>
    <row r="1008" spans="1:7" x14ac:dyDescent="0.25">
      <c r="A1008"/>
      <c r="B1008"/>
      <c r="C1008"/>
      <c r="D1008"/>
      <c r="E1008"/>
      <c r="F1008"/>
      <c r="G1008"/>
    </row>
    <row r="1009" spans="1:7" x14ac:dyDescent="0.25">
      <c r="A1009"/>
      <c r="B1009"/>
      <c r="C1009"/>
      <c r="D1009"/>
      <c r="E1009"/>
      <c r="F1009"/>
      <c r="G1009"/>
    </row>
    <row r="1010" spans="1:7" x14ac:dyDescent="0.25">
      <c r="A1010"/>
      <c r="B1010"/>
      <c r="C1010"/>
      <c r="D1010"/>
      <c r="E1010"/>
      <c r="F1010"/>
      <c r="G1010"/>
    </row>
    <row r="1011" spans="1:7" x14ac:dyDescent="0.25">
      <c r="A1011"/>
      <c r="B1011"/>
      <c r="C1011"/>
      <c r="D1011"/>
      <c r="E1011"/>
      <c r="F1011"/>
      <c r="G1011"/>
    </row>
    <row r="1012" spans="1:7" x14ac:dyDescent="0.25">
      <c r="A1012"/>
      <c r="B1012"/>
      <c r="C1012"/>
      <c r="D1012"/>
      <c r="E1012"/>
      <c r="F1012"/>
      <c r="G1012"/>
    </row>
    <row r="1013" spans="1:7" x14ac:dyDescent="0.25">
      <c r="A1013"/>
      <c r="B1013"/>
      <c r="C1013"/>
      <c r="D1013"/>
      <c r="E1013"/>
      <c r="F1013"/>
      <c r="G1013"/>
    </row>
    <row r="1014" spans="1:7" x14ac:dyDescent="0.25">
      <c r="A1014"/>
      <c r="B1014"/>
      <c r="C1014"/>
      <c r="D1014"/>
      <c r="E1014"/>
      <c r="F1014"/>
      <c r="G1014"/>
    </row>
    <row r="1015" spans="1:7" x14ac:dyDescent="0.25">
      <c r="A1015"/>
      <c r="B1015"/>
      <c r="C1015"/>
      <c r="D1015"/>
      <c r="E1015"/>
      <c r="F1015"/>
      <c r="G1015"/>
    </row>
    <row r="1016" spans="1:7" x14ac:dyDescent="0.25">
      <c r="A1016"/>
      <c r="B1016"/>
      <c r="C1016"/>
      <c r="D1016"/>
      <c r="E1016"/>
      <c r="F1016"/>
      <c r="G1016"/>
    </row>
    <row r="1017" spans="1:7" x14ac:dyDescent="0.25">
      <c r="A1017"/>
      <c r="B1017"/>
      <c r="C1017"/>
      <c r="D1017"/>
      <c r="E1017"/>
      <c r="F1017"/>
      <c r="G1017"/>
    </row>
    <row r="1018" spans="1:7" x14ac:dyDescent="0.25">
      <c r="A1018"/>
      <c r="B1018"/>
      <c r="C1018"/>
      <c r="D1018"/>
      <c r="E1018"/>
      <c r="F1018"/>
      <c r="G1018"/>
    </row>
    <row r="1019" spans="1:7" x14ac:dyDescent="0.25">
      <c r="A1019"/>
      <c r="B1019"/>
      <c r="C1019"/>
      <c r="D1019"/>
      <c r="E1019"/>
      <c r="F1019"/>
      <c r="G1019"/>
    </row>
    <row r="1020" spans="1:7" x14ac:dyDescent="0.25">
      <c r="A1020"/>
      <c r="B1020"/>
      <c r="C1020"/>
      <c r="D1020"/>
      <c r="E1020"/>
      <c r="F1020"/>
      <c r="G1020"/>
    </row>
    <row r="1021" spans="1:7" x14ac:dyDescent="0.25">
      <c r="A1021"/>
      <c r="B1021"/>
      <c r="C1021"/>
      <c r="D1021"/>
      <c r="E1021"/>
      <c r="F1021"/>
      <c r="G1021"/>
    </row>
    <row r="1022" spans="1:7" x14ac:dyDescent="0.25">
      <c r="A1022"/>
      <c r="B1022"/>
      <c r="C1022"/>
      <c r="D1022"/>
      <c r="E1022"/>
      <c r="F1022"/>
      <c r="G1022"/>
    </row>
    <row r="1023" spans="1:7" x14ac:dyDescent="0.25">
      <c r="A1023"/>
      <c r="B1023"/>
      <c r="C1023"/>
      <c r="D1023"/>
      <c r="E1023"/>
      <c r="F1023"/>
      <c r="G1023"/>
    </row>
    <row r="1024" spans="1:7" x14ac:dyDescent="0.25">
      <c r="A1024"/>
      <c r="B1024"/>
      <c r="C1024"/>
      <c r="D1024"/>
      <c r="E1024"/>
      <c r="F1024"/>
      <c r="G1024"/>
    </row>
    <row r="1025" spans="1:7" x14ac:dyDescent="0.25">
      <c r="A1025"/>
      <c r="B1025"/>
      <c r="C1025"/>
      <c r="D1025"/>
      <c r="E1025"/>
      <c r="F1025"/>
      <c r="G1025"/>
    </row>
    <row r="1026" spans="1:7" x14ac:dyDescent="0.25">
      <c r="A1026"/>
      <c r="B1026"/>
      <c r="C1026"/>
      <c r="D1026"/>
      <c r="E1026"/>
      <c r="F1026"/>
      <c r="G1026"/>
    </row>
    <row r="1027" spans="1:7" x14ac:dyDescent="0.25">
      <c r="A1027"/>
      <c r="B1027"/>
      <c r="C1027"/>
      <c r="D1027"/>
      <c r="E1027"/>
      <c r="F1027"/>
      <c r="G1027"/>
    </row>
    <row r="1028" spans="1:7" x14ac:dyDescent="0.25">
      <c r="A1028"/>
      <c r="B1028"/>
      <c r="C1028"/>
      <c r="D1028"/>
      <c r="E1028"/>
      <c r="F1028"/>
      <c r="G1028"/>
    </row>
    <row r="1029" spans="1:7" x14ac:dyDescent="0.25">
      <c r="A1029"/>
      <c r="B1029"/>
      <c r="C1029"/>
      <c r="D1029"/>
      <c r="E1029"/>
      <c r="F1029"/>
      <c r="G1029"/>
    </row>
    <row r="1030" spans="1:7" x14ac:dyDescent="0.25">
      <c r="A1030"/>
      <c r="B1030"/>
      <c r="C1030"/>
      <c r="D1030"/>
      <c r="E1030"/>
      <c r="F1030"/>
      <c r="G1030"/>
    </row>
    <row r="1031" spans="1:7" x14ac:dyDescent="0.25">
      <c r="A1031"/>
      <c r="B1031"/>
      <c r="C1031"/>
      <c r="D1031"/>
      <c r="E1031"/>
      <c r="F1031"/>
      <c r="G1031"/>
    </row>
    <row r="1032" spans="1:7" x14ac:dyDescent="0.25">
      <c r="A1032"/>
      <c r="B1032"/>
      <c r="C1032"/>
      <c r="D1032"/>
      <c r="E1032"/>
      <c r="F1032"/>
      <c r="G1032"/>
    </row>
    <row r="1033" spans="1:7" x14ac:dyDescent="0.25">
      <c r="A1033"/>
      <c r="B1033"/>
      <c r="C1033"/>
      <c r="D1033"/>
      <c r="E1033"/>
      <c r="F1033"/>
      <c r="G1033"/>
    </row>
    <row r="1034" spans="1:7" x14ac:dyDescent="0.25">
      <c r="A1034"/>
      <c r="B1034"/>
      <c r="C1034"/>
      <c r="D1034"/>
      <c r="E1034"/>
      <c r="F1034"/>
      <c r="G1034"/>
    </row>
    <row r="1035" spans="1:7" x14ac:dyDescent="0.25">
      <c r="A1035"/>
      <c r="B1035"/>
      <c r="C1035"/>
      <c r="D1035"/>
      <c r="E1035"/>
      <c r="F1035"/>
      <c r="G1035"/>
    </row>
    <row r="1036" spans="1:7" x14ac:dyDescent="0.25">
      <c r="A1036"/>
      <c r="B1036"/>
      <c r="C1036"/>
      <c r="D1036"/>
      <c r="E1036"/>
      <c r="F1036"/>
      <c r="G1036"/>
    </row>
    <row r="1037" spans="1:7" x14ac:dyDescent="0.25">
      <c r="A1037"/>
      <c r="B1037"/>
      <c r="C1037"/>
      <c r="D1037"/>
      <c r="E1037"/>
      <c r="F1037"/>
      <c r="G1037"/>
    </row>
    <row r="1038" spans="1:7" x14ac:dyDescent="0.25">
      <c r="A1038"/>
      <c r="B1038"/>
      <c r="C1038"/>
      <c r="D1038"/>
      <c r="E1038"/>
      <c r="F1038"/>
      <c r="G1038"/>
    </row>
    <row r="1039" spans="1:7" x14ac:dyDescent="0.25">
      <c r="A1039"/>
      <c r="B1039"/>
      <c r="C1039"/>
      <c r="D1039"/>
      <c r="E1039"/>
      <c r="F1039"/>
      <c r="G1039"/>
    </row>
    <row r="1040" spans="1:7" x14ac:dyDescent="0.25">
      <c r="A1040"/>
      <c r="B1040"/>
      <c r="C1040"/>
      <c r="D1040"/>
      <c r="E1040"/>
      <c r="F1040"/>
      <c r="G1040"/>
    </row>
    <row r="1041" spans="1:7" x14ac:dyDescent="0.25">
      <c r="A1041"/>
      <c r="B1041"/>
      <c r="C1041"/>
      <c r="D1041"/>
      <c r="E1041"/>
      <c r="F1041"/>
      <c r="G1041"/>
    </row>
    <row r="1042" spans="1:7" x14ac:dyDescent="0.25">
      <c r="A1042"/>
      <c r="B1042"/>
      <c r="C1042"/>
      <c r="D1042"/>
      <c r="E1042"/>
      <c r="F1042"/>
      <c r="G1042"/>
    </row>
    <row r="1043" spans="1:7" x14ac:dyDescent="0.25">
      <c r="A1043"/>
      <c r="B1043"/>
      <c r="C1043"/>
      <c r="D1043"/>
      <c r="E1043"/>
      <c r="F1043"/>
      <c r="G1043"/>
    </row>
    <row r="1044" spans="1:7" x14ac:dyDescent="0.25">
      <c r="A1044"/>
      <c r="B1044"/>
      <c r="C1044"/>
      <c r="D1044"/>
      <c r="E1044"/>
      <c r="F1044"/>
      <c r="G1044"/>
    </row>
    <row r="1045" spans="1:7" x14ac:dyDescent="0.25">
      <c r="A1045"/>
      <c r="B1045"/>
      <c r="C1045"/>
      <c r="D1045"/>
      <c r="E1045"/>
      <c r="F1045"/>
      <c r="G1045"/>
    </row>
    <row r="1046" spans="1:7" x14ac:dyDescent="0.25">
      <c r="A1046"/>
      <c r="B1046"/>
      <c r="C1046"/>
      <c r="D1046"/>
      <c r="E1046"/>
      <c r="F1046"/>
      <c r="G1046"/>
    </row>
    <row r="1047" spans="1:7" x14ac:dyDescent="0.25">
      <c r="A1047"/>
      <c r="B1047"/>
      <c r="C1047"/>
      <c r="D1047"/>
      <c r="E1047"/>
      <c r="F1047"/>
      <c r="G1047"/>
    </row>
    <row r="1048" spans="1:7" x14ac:dyDescent="0.25">
      <c r="A1048"/>
      <c r="B1048"/>
      <c r="C1048"/>
      <c r="D1048"/>
      <c r="E1048"/>
      <c r="F1048"/>
      <c r="G1048"/>
    </row>
    <row r="1049" spans="1:7" x14ac:dyDescent="0.25">
      <c r="A1049"/>
      <c r="B1049"/>
      <c r="C1049"/>
      <c r="D1049"/>
      <c r="E1049"/>
      <c r="F1049"/>
      <c r="G1049"/>
    </row>
    <row r="1050" spans="1:7" x14ac:dyDescent="0.25">
      <c r="A1050"/>
      <c r="B1050"/>
      <c r="C1050"/>
      <c r="D1050"/>
      <c r="E1050"/>
      <c r="F1050"/>
      <c r="G1050"/>
    </row>
    <row r="1051" spans="1:7" x14ac:dyDescent="0.25">
      <c r="A1051"/>
      <c r="B1051"/>
      <c r="C1051"/>
      <c r="D1051"/>
      <c r="E1051"/>
      <c r="F1051"/>
      <c r="G1051"/>
    </row>
    <row r="1052" spans="1:7" x14ac:dyDescent="0.25">
      <c r="A1052"/>
      <c r="B1052"/>
      <c r="C1052"/>
      <c r="D1052"/>
      <c r="E1052"/>
      <c r="F1052"/>
      <c r="G1052"/>
    </row>
    <row r="1053" spans="1:7" x14ac:dyDescent="0.25">
      <c r="A1053"/>
      <c r="B1053"/>
      <c r="C1053"/>
      <c r="D1053"/>
      <c r="E1053"/>
      <c r="F1053"/>
      <c r="G1053"/>
    </row>
    <row r="1054" spans="1:7" x14ac:dyDescent="0.25">
      <c r="A1054"/>
      <c r="B1054"/>
      <c r="C1054"/>
      <c r="D1054"/>
      <c r="E1054"/>
      <c r="F1054"/>
      <c r="G1054"/>
    </row>
    <row r="1055" spans="1:7" x14ac:dyDescent="0.25">
      <c r="A1055"/>
      <c r="B1055"/>
      <c r="C1055"/>
      <c r="D1055"/>
      <c r="E1055"/>
      <c r="F1055"/>
      <c r="G1055"/>
    </row>
    <row r="1056" spans="1:7" x14ac:dyDescent="0.25">
      <c r="A1056"/>
      <c r="B1056"/>
      <c r="C1056"/>
      <c r="D1056"/>
      <c r="E1056"/>
      <c r="F1056"/>
      <c r="G1056"/>
    </row>
    <row r="1057" spans="1:7" x14ac:dyDescent="0.25">
      <c r="A1057"/>
      <c r="B1057"/>
      <c r="C1057"/>
      <c r="D1057"/>
      <c r="E1057"/>
      <c r="F1057"/>
      <c r="G1057"/>
    </row>
    <row r="1058" spans="1:7" x14ac:dyDescent="0.25">
      <c r="A1058"/>
      <c r="B1058"/>
      <c r="C1058"/>
      <c r="D1058"/>
      <c r="E1058"/>
      <c r="F1058"/>
      <c r="G1058"/>
    </row>
    <row r="1059" spans="1:7" x14ac:dyDescent="0.25">
      <c r="A1059"/>
      <c r="B1059"/>
      <c r="C1059"/>
      <c r="D1059"/>
      <c r="E1059"/>
      <c r="F1059"/>
      <c r="G1059"/>
    </row>
    <row r="1060" spans="1:7" x14ac:dyDescent="0.25">
      <c r="A1060"/>
      <c r="B1060"/>
      <c r="C1060"/>
      <c r="D1060"/>
      <c r="E1060"/>
      <c r="F1060"/>
      <c r="G1060"/>
    </row>
    <row r="1061" spans="1:7" x14ac:dyDescent="0.25">
      <c r="A1061"/>
      <c r="B1061"/>
      <c r="C1061"/>
      <c r="D1061"/>
      <c r="E1061"/>
      <c r="F1061"/>
      <c r="G1061"/>
    </row>
    <row r="1062" spans="1:7" x14ac:dyDescent="0.25">
      <c r="A1062"/>
      <c r="B1062"/>
      <c r="C1062"/>
      <c r="D1062"/>
      <c r="E1062"/>
      <c r="F1062"/>
      <c r="G1062"/>
    </row>
    <row r="1063" spans="1:7" x14ac:dyDescent="0.25">
      <c r="A1063"/>
      <c r="B1063"/>
      <c r="C1063"/>
      <c r="D1063"/>
      <c r="E1063"/>
      <c r="F1063"/>
      <c r="G1063"/>
    </row>
    <row r="1064" spans="1:7" x14ac:dyDescent="0.25">
      <c r="A1064"/>
      <c r="B1064"/>
      <c r="C1064"/>
      <c r="D1064"/>
      <c r="E1064"/>
      <c r="F1064"/>
      <c r="G1064"/>
    </row>
    <row r="1065" spans="1:7" x14ac:dyDescent="0.25">
      <c r="A1065"/>
      <c r="B1065"/>
      <c r="C1065"/>
      <c r="D1065"/>
      <c r="E1065"/>
      <c r="F1065"/>
      <c r="G1065"/>
    </row>
    <row r="1066" spans="1:7" x14ac:dyDescent="0.25">
      <c r="A1066"/>
      <c r="B1066"/>
      <c r="C1066"/>
      <c r="D1066"/>
      <c r="E1066"/>
      <c r="F1066"/>
      <c r="G1066"/>
    </row>
    <row r="1067" spans="1:7" x14ac:dyDescent="0.25">
      <c r="A1067"/>
      <c r="B1067"/>
      <c r="C1067"/>
      <c r="D1067"/>
      <c r="E1067"/>
      <c r="F1067"/>
      <c r="G1067"/>
    </row>
    <row r="1068" spans="1:7" x14ac:dyDescent="0.25">
      <c r="A1068"/>
      <c r="B1068"/>
      <c r="C1068"/>
      <c r="D1068"/>
      <c r="E1068"/>
      <c r="F1068"/>
      <c r="G1068"/>
    </row>
    <row r="1069" spans="1:7" x14ac:dyDescent="0.25">
      <c r="A1069"/>
      <c r="B1069"/>
      <c r="C1069"/>
      <c r="D1069"/>
      <c r="E1069"/>
      <c r="F1069"/>
      <c r="G1069"/>
    </row>
    <row r="1070" spans="1:7" x14ac:dyDescent="0.25">
      <c r="A1070"/>
      <c r="B1070"/>
      <c r="C1070"/>
      <c r="D1070"/>
      <c r="E1070"/>
      <c r="F1070"/>
      <c r="G1070"/>
    </row>
    <row r="1071" spans="1:7" x14ac:dyDescent="0.25">
      <c r="A1071"/>
      <c r="B1071"/>
      <c r="C1071"/>
      <c r="D1071"/>
      <c r="E1071"/>
      <c r="F1071"/>
      <c r="G1071"/>
    </row>
    <row r="1072" spans="1:7" x14ac:dyDescent="0.25">
      <c r="A1072"/>
      <c r="B1072"/>
      <c r="C1072"/>
      <c r="D1072"/>
      <c r="E1072"/>
      <c r="F1072"/>
      <c r="G1072"/>
    </row>
    <row r="1073" spans="1:7" x14ac:dyDescent="0.25">
      <c r="A1073"/>
      <c r="B1073"/>
      <c r="C1073"/>
      <c r="D1073"/>
      <c r="E1073"/>
      <c r="F1073"/>
      <c r="G1073"/>
    </row>
    <row r="1074" spans="1:7" x14ac:dyDescent="0.25">
      <c r="A1074"/>
      <c r="B1074"/>
      <c r="C1074"/>
      <c r="D1074"/>
      <c r="E1074"/>
      <c r="F1074"/>
      <c r="G1074"/>
    </row>
    <row r="1075" spans="1:7" x14ac:dyDescent="0.25">
      <c r="A1075"/>
      <c r="B1075"/>
      <c r="C1075"/>
      <c r="D1075"/>
      <c r="E1075"/>
      <c r="F1075"/>
      <c r="G1075"/>
    </row>
    <row r="1076" spans="1:7" x14ac:dyDescent="0.25">
      <c r="A1076"/>
      <c r="B1076"/>
      <c r="C1076"/>
      <c r="D1076"/>
      <c r="E1076"/>
      <c r="F1076"/>
      <c r="G1076"/>
    </row>
    <row r="1077" spans="1:7" x14ac:dyDescent="0.25">
      <c r="A1077"/>
      <c r="B1077"/>
      <c r="C1077"/>
      <c r="D1077"/>
      <c r="E1077"/>
      <c r="F1077"/>
      <c r="G1077"/>
    </row>
    <row r="1078" spans="1:7" x14ac:dyDescent="0.25">
      <c r="A1078"/>
      <c r="B1078"/>
      <c r="C1078"/>
      <c r="D1078"/>
      <c r="E1078"/>
      <c r="F1078"/>
      <c r="G1078"/>
    </row>
    <row r="1079" spans="1:7" x14ac:dyDescent="0.25">
      <c r="A1079"/>
      <c r="B1079"/>
      <c r="C1079"/>
      <c r="D1079"/>
      <c r="E1079"/>
      <c r="F1079"/>
      <c r="G1079"/>
    </row>
    <row r="1080" spans="1:7" x14ac:dyDescent="0.25">
      <c r="A1080"/>
      <c r="B1080"/>
      <c r="C1080"/>
      <c r="D1080"/>
      <c r="E1080"/>
      <c r="F1080"/>
      <c r="G1080"/>
    </row>
    <row r="1081" spans="1:7" x14ac:dyDescent="0.25">
      <c r="A1081"/>
      <c r="B1081"/>
      <c r="C1081"/>
      <c r="D1081"/>
      <c r="E1081"/>
      <c r="F1081"/>
      <c r="G1081"/>
    </row>
    <row r="1082" spans="1:7" x14ac:dyDescent="0.25">
      <c r="A1082"/>
      <c r="B1082"/>
      <c r="C1082"/>
      <c r="D1082"/>
      <c r="E1082"/>
      <c r="F1082"/>
      <c r="G1082"/>
    </row>
    <row r="1083" spans="1:7" x14ac:dyDescent="0.25">
      <c r="A1083"/>
      <c r="B1083"/>
      <c r="C1083"/>
      <c r="D1083"/>
      <c r="E1083"/>
      <c r="F1083"/>
      <c r="G1083"/>
    </row>
    <row r="1084" spans="1:7" x14ac:dyDescent="0.25">
      <c r="A1084"/>
      <c r="B1084"/>
      <c r="C1084"/>
      <c r="D1084"/>
      <c r="E1084"/>
      <c r="F1084"/>
      <c r="G1084"/>
    </row>
    <row r="1085" spans="1:7" x14ac:dyDescent="0.25">
      <c r="A1085"/>
      <c r="B1085"/>
      <c r="C1085"/>
      <c r="D1085"/>
      <c r="E1085"/>
      <c r="F1085"/>
      <c r="G1085"/>
    </row>
    <row r="1086" spans="1:7" x14ac:dyDescent="0.25">
      <c r="A1086"/>
      <c r="B1086"/>
      <c r="C1086"/>
      <c r="D1086"/>
      <c r="E1086"/>
      <c r="F1086"/>
      <c r="G1086"/>
    </row>
    <row r="1087" spans="1:7" x14ac:dyDescent="0.25">
      <c r="A1087"/>
      <c r="B1087"/>
      <c r="C1087"/>
      <c r="D1087"/>
      <c r="E1087"/>
      <c r="F1087"/>
      <c r="G1087"/>
    </row>
    <row r="1088" spans="1:7" x14ac:dyDescent="0.25">
      <c r="A1088"/>
      <c r="B1088"/>
      <c r="C1088"/>
      <c r="D1088"/>
      <c r="E1088"/>
      <c r="F1088"/>
      <c r="G1088"/>
    </row>
    <row r="1089" spans="1:7" x14ac:dyDescent="0.25">
      <c r="A1089"/>
      <c r="B1089"/>
      <c r="C1089"/>
      <c r="D1089"/>
      <c r="E1089"/>
      <c r="F1089"/>
      <c r="G1089"/>
    </row>
    <row r="1090" spans="1:7" x14ac:dyDescent="0.25">
      <c r="A1090"/>
      <c r="B1090"/>
      <c r="C1090"/>
      <c r="D1090"/>
      <c r="E1090"/>
      <c r="F1090"/>
      <c r="G1090"/>
    </row>
    <row r="1091" spans="1:7" x14ac:dyDescent="0.25">
      <c r="A1091"/>
      <c r="B1091"/>
      <c r="C1091"/>
      <c r="D1091"/>
      <c r="E1091"/>
      <c r="F1091"/>
      <c r="G1091"/>
    </row>
    <row r="1092" spans="1:7" x14ac:dyDescent="0.25">
      <c r="A1092"/>
      <c r="B1092"/>
      <c r="C1092"/>
      <c r="D1092"/>
      <c r="E1092"/>
      <c r="F1092"/>
      <c r="G1092"/>
    </row>
    <row r="1093" spans="1:7" x14ac:dyDescent="0.25">
      <c r="A1093"/>
      <c r="B1093"/>
      <c r="C1093"/>
      <c r="D1093"/>
      <c r="E1093"/>
      <c r="F1093"/>
      <c r="G1093"/>
    </row>
    <row r="1094" spans="1:7" x14ac:dyDescent="0.25">
      <c r="A1094"/>
      <c r="B1094"/>
      <c r="C1094"/>
      <c r="D1094"/>
      <c r="E1094"/>
      <c r="F1094"/>
      <c r="G1094"/>
    </row>
    <row r="1095" spans="1:7" x14ac:dyDescent="0.25">
      <c r="A1095"/>
      <c r="B1095"/>
      <c r="C1095"/>
      <c r="D1095"/>
      <c r="E1095"/>
      <c r="F1095"/>
      <c r="G1095"/>
    </row>
    <row r="1096" spans="1:7" x14ac:dyDescent="0.25">
      <c r="A1096"/>
      <c r="B1096"/>
      <c r="C1096"/>
      <c r="D1096"/>
      <c r="E1096"/>
      <c r="F1096"/>
      <c r="G1096"/>
    </row>
    <row r="1097" spans="1:7" x14ac:dyDescent="0.25">
      <c r="A1097"/>
      <c r="B1097"/>
      <c r="C1097"/>
      <c r="D1097"/>
      <c r="E1097"/>
      <c r="F1097"/>
      <c r="G1097"/>
    </row>
    <row r="1098" spans="1:7" x14ac:dyDescent="0.25">
      <c r="A1098"/>
      <c r="B1098"/>
      <c r="C1098"/>
      <c r="D1098"/>
      <c r="E1098"/>
      <c r="F1098"/>
      <c r="G1098"/>
    </row>
    <row r="1099" spans="1:7" x14ac:dyDescent="0.25">
      <c r="A1099"/>
      <c r="B1099"/>
      <c r="C1099"/>
      <c r="D1099"/>
      <c r="E1099"/>
      <c r="F1099"/>
      <c r="G1099"/>
    </row>
    <row r="1100" spans="1:7" x14ac:dyDescent="0.25">
      <c r="A1100"/>
      <c r="B1100"/>
      <c r="C1100"/>
      <c r="D1100"/>
      <c r="E1100"/>
      <c r="F1100"/>
      <c r="G1100"/>
    </row>
    <row r="1101" spans="1:7" x14ac:dyDescent="0.25">
      <c r="A1101"/>
      <c r="B1101"/>
      <c r="C1101"/>
      <c r="D1101"/>
      <c r="E1101"/>
      <c r="F1101"/>
      <c r="G1101"/>
    </row>
    <row r="1102" spans="1:7" x14ac:dyDescent="0.25">
      <c r="A1102"/>
      <c r="B1102"/>
      <c r="C1102"/>
      <c r="D1102"/>
      <c r="E1102"/>
      <c r="F1102"/>
      <c r="G1102"/>
    </row>
    <row r="1103" spans="1:7" x14ac:dyDescent="0.25">
      <c r="A1103"/>
      <c r="B1103"/>
      <c r="C1103"/>
      <c r="D1103"/>
      <c r="E1103"/>
      <c r="F1103"/>
      <c r="G1103"/>
    </row>
    <row r="1104" spans="1:7" x14ac:dyDescent="0.25">
      <c r="A1104"/>
      <c r="B1104"/>
      <c r="C1104"/>
      <c r="D1104"/>
      <c r="E1104"/>
      <c r="F1104"/>
      <c r="G1104"/>
    </row>
    <row r="1105" spans="1:7" x14ac:dyDescent="0.25">
      <c r="A1105"/>
      <c r="B1105"/>
      <c r="C1105"/>
      <c r="D1105"/>
      <c r="E1105"/>
      <c r="F1105"/>
      <c r="G1105"/>
    </row>
    <row r="1106" spans="1:7" x14ac:dyDescent="0.25">
      <c r="A1106"/>
      <c r="B1106"/>
      <c r="C1106"/>
      <c r="D1106"/>
      <c r="E1106"/>
      <c r="F1106"/>
      <c r="G1106"/>
    </row>
    <row r="1107" spans="1:7" x14ac:dyDescent="0.25">
      <c r="A1107"/>
      <c r="B1107"/>
      <c r="C1107"/>
      <c r="D1107"/>
      <c r="E1107"/>
      <c r="F1107"/>
      <c r="G1107"/>
    </row>
    <row r="1108" spans="1:7" x14ac:dyDescent="0.25">
      <c r="A1108"/>
      <c r="B1108"/>
      <c r="C1108"/>
      <c r="D1108"/>
      <c r="E1108"/>
      <c r="F1108"/>
      <c r="G1108"/>
    </row>
    <row r="1109" spans="1:7" x14ac:dyDescent="0.25">
      <c r="A1109"/>
      <c r="B1109"/>
      <c r="C1109"/>
      <c r="D1109"/>
      <c r="E1109"/>
      <c r="F1109"/>
      <c r="G1109"/>
    </row>
    <row r="1110" spans="1:7" x14ac:dyDescent="0.25">
      <c r="A1110"/>
      <c r="B1110"/>
      <c r="C1110"/>
      <c r="D1110"/>
      <c r="E1110"/>
      <c r="F1110"/>
      <c r="G1110"/>
    </row>
    <row r="1111" spans="1:7" x14ac:dyDescent="0.25">
      <c r="A1111"/>
      <c r="B1111"/>
      <c r="C1111"/>
      <c r="D1111"/>
      <c r="E1111"/>
      <c r="F1111"/>
      <c r="G1111"/>
    </row>
    <row r="1112" spans="1:7" x14ac:dyDescent="0.25">
      <c r="A1112"/>
      <c r="B1112"/>
      <c r="C1112"/>
      <c r="D1112"/>
      <c r="E1112"/>
      <c r="F1112"/>
      <c r="G1112"/>
    </row>
    <row r="1113" spans="1:7" x14ac:dyDescent="0.25">
      <c r="A1113"/>
      <c r="B1113"/>
      <c r="C1113"/>
      <c r="D1113"/>
      <c r="E1113"/>
      <c r="F1113"/>
      <c r="G1113"/>
    </row>
    <row r="1114" spans="1:7" x14ac:dyDescent="0.25">
      <c r="A1114"/>
      <c r="B1114"/>
      <c r="C1114"/>
      <c r="D1114"/>
      <c r="E1114"/>
      <c r="F1114"/>
      <c r="G1114"/>
    </row>
    <row r="1115" spans="1:7" x14ac:dyDescent="0.25">
      <c r="A1115"/>
      <c r="B1115"/>
      <c r="C1115"/>
      <c r="D1115"/>
      <c r="E1115"/>
      <c r="F1115"/>
      <c r="G1115"/>
    </row>
    <row r="1116" spans="1:7" x14ac:dyDescent="0.25">
      <c r="A1116"/>
      <c r="B1116"/>
      <c r="C1116"/>
      <c r="D1116"/>
      <c r="E1116"/>
      <c r="F1116"/>
      <c r="G1116"/>
    </row>
    <row r="1117" spans="1:7" x14ac:dyDescent="0.25">
      <c r="A1117"/>
      <c r="B1117"/>
      <c r="C1117"/>
      <c r="D1117"/>
      <c r="E1117"/>
      <c r="F1117"/>
      <c r="G1117"/>
    </row>
    <row r="1118" spans="1:7" x14ac:dyDescent="0.25">
      <c r="A1118"/>
      <c r="B1118"/>
      <c r="C1118"/>
      <c r="D1118"/>
      <c r="E1118"/>
      <c r="F1118"/>
      <c r="G1118"/>
    </row>
    <row r="1119" spans="1:7" x14ac:dyDescent="0.25">
      <c r="A1119"/>
      <c r="B1119"/>
      <c r="C1119"/>
      <c r="D1119"/>
      <c r="E1119"/>
      <c r="F1119"/>
      <c r="G1119"/>
    </row>
    <row r="1120" spans="1:7" x14ac:dyDescent="0.25">
      <c r="A1120"/>
      <c r="B1120"/>
      <c r="C1120"/>
      <c r="D1120"/>
      <c r="E1120"/>
      <c r="F1120"/>
      <c r="G1120"/>
    </row>
    <row r="1121" spans="1:7" x14ac:dyDescent="0.25">
      <c r="A1121"/>
      <c r="B1121"/>
      <c r="C1121"/>
      <c r="D1121"/>
      <c r="E1121"/>
      <c r="F1121"/>
      <c r="G1121"/>
    </row>
    <row r="1122" spans="1:7" x14ac:dyDescent="0.25">
      <c r="A1122"/>
      <c r="B1122"/>
      <c r="C1122"/>
      <c r="D1122"/>
      <c r="E1122"/>
      <c r="F1122"/>
      <c r="G1122"/>
    </row>
    <row r="1123" spans="1:7" x14ac:dyDescent="0.25">
      <c r="A1123"/>
      <c r="B1123"/>
      <c r="C1123"/>
      <c r="D1123"/>
      <c r="E1123"/>
      <c r="F1123"/>
      <c r="G1123"/>
    </row>
    <row r="1124" spans="1:7" x14ac:dyDescent="0.25">
      <c r="A1124"/>
      <c r="B1124"/>
      <c r="C1124"/>
      <c r="D1124"/>
      <c r="E1124"/>
      <c r="F1124"/>
      <c r="G1124"/>
    </row>
    <row r="1125" spans="1:7" x14ac:dyDescent="0.25">
      <c r="A1125"/>
      <c r="B1125"/>
      <c r="C1125"/>
      <c r="D1125"/>
      <c r="E1125"/>
      <c r="F1125"/>
      <c r="G1125"/>
    </row>
    <row r="1126" spans="1:7" x14ac:dyDescent="0.25">
      <c r="A1126"/>
      <c r="B1126"/>
      <c r="C1126"/>
      <c r="D1126"/>
      <c r="E1126"/>
      <c r="F1126"/>
      <c r="G1126"/>
    </row>
    <row r="1127" spans="1:7" x14ac:dyDescent="0.25">
      <c r="A1127"/>
      <c r="B1127"/>
      <c r="C1127"/>
      <c r="D1127"/>
      <c r="E1127"/>
      <c r="F1127"/>
      <c r="G1127"/>
    </row>
    <row r="1128" spans="1:7" x14ac:dyDescent="0.25">
      <c r="A1128"/>
      <c r="B1128"/>
      <c r="C1128"/>
      <c r="D1128"/>
      <c r="E1128"/>
      <c r="F1128"/>
      <c r="G1128"/>
    </row>
    <row r="1129" spans="1:7" x14ac:dyDescent="0.25">
      <c r="A1129"/>
      <c r="B1129"/>
      <c r="C1129"/>
      <c r="D1129"/>
      <c r="E1129"/>
      <c r="F1129"/>
      <c r="G1129"/>
    </row>
    <row r="1130" spans="1:7" x14ac:dyDescent="0.25">
      <c r="A1130"/>
      <c r="B1130"/>
      <c r="C1130"/>
      <c r="D1130"/>
      <c r="E1130"/>
      <c r="F1130"/>
      <c r="G1130"/>
    </row>
    <row r="1131" spans="1:7" x14ac:dyDescent="0.25">
      <c r="A1131"/>
      <c r="B1131"/>
      <c r="C1131"/>
      <c r="D1131"/>
      <c r="E1131"/>
      <c r="F1131"/>
      <c r="G1131"/>
    </row>
    <row r="1132" spans="1:7" x14ac:dyDescent="0.25">
      <c r="A1132"/>
      <c r="B1132"/>
      <c r="C1132"/>
      <c r="D1132"/>
      <c r="E1132"/>
      <c r="F1132"/>
      <c r="G1132"/>
    </row>
    <row r="1133" spans="1:7" x14ac:dyDescent="0.25">
      <c r="A1133"/>
      <c r="B1133"/>
      <c r="C1133"/>
      <c r="D1133"/>
      <c r="E1133"/>
      <c r="F1133"/>
      <c r="G1133"/>
    </row>
    <row r="1134" spans="1:7" x14ac:dyDescent="0.25">
      <c r="A1134"/>
      <c r="B1134"/>
      <c r="C1134"/>
      <c r="D1134"/>
      <c r="E1134"/>
      <c r="F1134"/>
      <c r="G1134"/>
    </row>
    <row r="1135" spans="1:7" x14ac:dyDescent="0.25">
      <c r="A1135"/>
      <c r="B1135"/>
      <c r="C1135"/>
      <c r="D1135"/>
      <c r="E1135"/>
      <c r="F1135"/>
      <c r="G1135"/>
    </row>
    <row r="1136" spans="1:7" x14ac:dyDescent="0.25">
      <c r="A1136"/>
      <c r="B1136"/>
      <c r="C1136"/>
      <c r="D1136"/>
      <c r="E1136"/>
      <c r="F1136"/>
      <c r="G1136"/>
    </row>
    <row r="1137" spans="1:7" x14ac:dyDescent="0.25">
      <c r="A1137"/>
      <c r="B1137"/>
      <c r="C1137"/>
      <c r="D1137"/>
      <c r="E1137"/>
      <c r="F1137"/>
      <c r="G1137"/>
    </row>
    <row r="1138" spans="1:7" x14ac:dyDescent="0.25">
      <c r="A1138"/>
      <c r="B1138"/>
      <c r="C1138"/>
      <c r="D1138"/>
      <c r="E1138"/>
      <c r="F1138"/>
      <c r="G1138"/>
    </row>
    <row r="1139" spans="1:7" x14ac:dyDescent="0.25">
      <c r="A1139"/>
      <c r="B1139"/>
      <c r="C1139"/>
      <c r="D1139"/>
      <c r="E1139"/>
      <c r="F1139"/>
      <c r="G1139"/>
    </row>
    <row r="1140" spans="1:7" x14ac:dyDescent="0.25">
      <c r="A1140"/>
      <c r="B1140"/>
      <c r="C1140"/>
      <c r="D1140"/>
      <c r="E1140"/>
      <c r="F1140"/>
      <c r="G1140"/>
    </row>
    <row r="1141" spans="1:7" x14ac:dyDescent="0.25">
      <c r="A1141"/>
      <c r="B1141"/>
      <c r="C1141"/>
      <c r="D1141"/>
      <c r="E1141"/>
      <c r="F1141"/>
      <c r="G1141"/>
    </row>
    <row r="1142" spans="1:7" x14ac:dyDescent="0.25">
      <c r="A1142"/>
      <c r="B1142"/>
      <c r="C1142"/>
      <c r="D1142"/>
      <c r="E1142"/>
      <c r="F1142"/>
      <c r="G1142"/>
    </row>
    <row r="1143" spans="1:7" x14ac:dyDescent="0.25">
      <c r="A1143"/>
      <c r="B1143"/>
      <c r="C1143"/>
      <c r="D1143"/>
      <c r="E1143"/>
      <c r="F1143"/>
      <c r="G1143"/>
    </row>
    <row r="1144" spans="1:7" x14ac:dyDescent="0.25">
      <c r="A1144"/>
      <c r="B1144"/>
      <c r="C1144"/>
      <c r="D1144"/>
      <c r="E1144"/>
      <c r="F1144"/>
      <c r="G1144"/>
    </row>
    <row r="1145" spans="1:7" x14ac:dyDescent="0.25">
      <c r="A1145"/>
      <c r="B1145"/>
      <c r="C1145"/>
      <c r="D1145"/>
      <c r="E1145"/>
      <c r="F1145"/>
      <c r="G1145"/>
    </row>
    <row r="1146" spans="1:7" x14ac:dyDescent="0.25">
      <c r="A1146"/>
      <c r="B1146"/>
      <c r="C1146"/>
      <c r="D1146"/>
      <c r="E1146"/>
      <c r="F1146"/>
      <c r="G1146"/>
    </row>
    <row r="1147" spans="1:7" x14ac:dyDescent="0.25">
      <c r="A1147"/>
      <c r="B1147"/>
      <c r="C1147"/>
      <c r="D1147"/>
      <c r="E1147"/>
      <c r="F1147"/>
      <c r="G1147"/>
    </row>
    <row r="1148" spans="1:7" x14ac:dyDescent="0.25">
      <c r="A1148"/>
      <c r="B1148"/>
      <c r="C1148"/>
      <c r="D1148"/>
      <c r="E1148"/>
      <c r="F1148"/>
      <c r="G1148"/>
    </row>
    <row r="1149" spans="1:7" x14ac:dyDescent="0.25">
      <c r="A1149"/>
      <c r="B1149"/>
      <c r="C1149"/>
      <c r="D1149"/>
      <c r="E1149"/>
      <c r="F1149"/>
      <c r="G1149"/>
    </row>
    <row r="1150" spans="1:7" x14ac:dyDescent="0.25">
      <c r="A1150"/>
      <c r="B1150"/>
      <c r="C1150"/>
      <c r="D1150"/>
      <c r="E1150"/>
      <c r="F1150"/>
      <c r="G1150"/>
    </row>
    <row r="1151" spans="1:7" x14ac:dyDescent="0.25">
      <c r="A1151"/>
      <c r="B1151"/>
      <c r="C1151"/>
      <c r="D1151"/>
      <c r="E1151"/>
      <c r="F1151"/>
      <c r="G1151"/>
    </row>
    <row r="1152" spans="1:7" x14ac:dyDescent="0.25">
      <c r="A1152"/>
      <c r="B1152"/>
      <c r="C1152"/>
      <c r="D1152"/>
      <c r="E1152"/>
      <c r="F1152"/>
      <c r="G1152"/>
    </row>
    <row r="1153" spans="1:7" x14ac:dyDescent="0.25">
      <c r="A1153"/>
      <c r="B1153"/>
      <c r="C1153"/>
      <c r="D1153"/>
      <c r="E1153"/>
      <c r="F1153"/>
      <c r="G1153"/>
    </row>
    <row r="1154" spans="1:7" x14ac:dyDescent="0.25">
      <c r="A1154"/>
      <c r="B1154"/>
      <c r="C1154"/>
      <c r="D1154"/>
      <c r="E1154"/>
      <c r="F1154"/>
      <c r="G1154"/>
    </row>
    <row r="1155" spans="1:7" x14ac:dyDescent="0.25">
      <c r="A1155"/>
      <c r="B1155"/>
      <c r="C1155"/>
      <c r="D1155"/>
      <c r="E1155"/>
      <c r="F1155"/>
      <c r="G1155"/>
    </row>
    <row r="1156" spans="1:7" x14ac:dyDescent="0.25">
      <c r="A1156"/>
      <c r="B1156"/>
      <c r="C1156"/>
      <c r="D1156"/>
      <c r="E1156"/>
      <c r="F1156"/>
      <c r="G1156"/>
    </row>
    <row r="1157" spans="1:7" x14ac:dyDescent="0.25">
      <c r="A1157"/>
      <c r="B1157"/>
      <c r="C1157"/>
      <c r="D1157"/>
      <c r="E1157"/>
      <c r="F1157"/>
      <c r="G1157"/>
    </row>
    <row r="1158" spans="1:7" x14ac:dyDescent="0.25">
      <c r="A1158"/>
      <c r="B1158"/>
      <c r="C1158"/>
      <c r="D1158"/>
      <c r="E1158"/>
      <c r="F1158"/>
      <c r="G1158"/>
    </row>
    <row r="1159" spans="1:7" x14ac:dyDescent="0.25">
      <c r="A1159"/>
      <c r="B1159"/>
      <c r="C1159"/>
      <c r="D1159"/>
      <c r="E1159"/>
      <c r="F1159"/>
      <c r="G1159"/>
    </row>
    <row r="1160" spans="1:7" x14ac:dyDescent="0.25">
      <c r="A1160"/>
      <c r="B1160"/>
      <c r="C1160"/>
      <c r="D1160"/>
      <c r="E1160"/>
      <c r="F1160"/>
      <c r="G1160"/>
    </row>
    <row r="1161" spans="1:7" x14ac:dyDescent="0.25">
      <c r="A1161"/>
      <c r="B1161"/>
      <c r="C1161"/>
      <c r="D1161"/>
      <c r="E1161"/>
      <c r="F1161"/>
      <c r="G1161"/>
    </row>
    <row r="1162" spans="1:7" x14ac:dyDescent="0.25">
      <c r="A1162"/>
      <c r="B1162"/>
      <c r="C1162"/>
      <c r="D1162"/>
      <c r="E1162"/>
      <c r="F1162"/>
      <c r="G1162"/>
    </row>
    <row r="1163" spans="1:7" x14ac:dyDescent="0.25">
      <c r="A1163"/>
      <c r="B1163"/>
      <c r="C1163"/>
      <c r="D1163"/>
      <c r="E1163"/>
      <c r="F1163"/>
      <c r="G1163"/>
    </row>
    <row r="1164" spans="1:7" x14ac:dyDescent="0.25">
      <c r="A1164"/>
      <c r="B1164"/>
      <c r="C1164"/>
      <c r="D1164"/>
      <c r="E1164"/>
      <c r="F1164"/>
      <c r="G1164"/>
    </row>
    <row r="1165" spans="1:7" x14ac:dyDescent="0.25">
      <c r="A1165"/>
      <c r="B1165"/>
      <c r="C1165"/>
      <c r="D1165"/>
      <c r="E1165"/>
      <c r="F1165"/>
      <c r="G1165"/>
    </row>
    <row r="1166" spans="1:7" x14ac:dyDescent="0.25">
      <c r="A1166"/>
      <c r="B1166"/>
      <c r="C1166"/>
      <c r="D1166"/>
      <c r="E1166"/>
      <c r="F1166"/>
      <c r="G1166"/>
    </row>
    <row r="1167" spans="1:7" x14ac:dyDescent="0.25">
      <c r="A1167"/>
      <c r="B1167"/>
      <c r="C1167"/>
      <c r="D1167"/>
      <c r="E1167"/>
      <c r="F1167"/>
      <c r="G1167"/>
    </row>
    <row r="1168" spans="1:7" x14ac:dyDescent="0.25">
      <c r="A1168"/>
      <c r="B1168"/>
      <c r="C1168"/>
      <c r="D1168"/>
      <c r="E1168"/>
      <c r="F1168"/>
      <c r="G1168"/>
    </row>
    <row r="1169" spans="1:7" x14ac:dyDescent="0.25">
      <c r="A1169"/>
      <c r="B1169"/>
      <c r="C1169"/>
      <c r="D1169"/>
      <c r="E1169"/>
      <c r="F1169"/>
      <c r="G1169"/>
    </row>
    <row r="1170" spans="1:7" x14ac:dyDescent="0.25">
      <c r="A1170"/>
      <c r="B1170"/>
      <c r="C1170"/>
      <c r="D1170"/>
      <c r="E1170"/>
      <c r="F1170"/>
      <c r="G1170"/>
    </row>
    <row r="1171" spans="1:7" x14ac:dyDescent="0.25">
      <c r="A1171"/>
      <c r="B1171"/>
      <c r="C1171"/>
      <c r="D1171"/>
      <c r="E1171"/>
      <c r="F1171"/>
      <c r="G1171"/>
    </row>
    <row r="1172" spans="1:7" x14ac:dyDescent="0.25">
      <c r="A1172"/>
      <c r="B1172"/>
      <c r="C1172"/>
      <c r="D1172"/>
      <c r="E1172"/>
      <c r="F1172"/>
      <c r="G1172"/>
    </row>
    <row r="1173" spans="1:7" x14ac:dyDescent="0.25">
      <c r="A1173"/>
      <c r="B1173"/>
      <c r="C1173"/>
      <c r="D1173"/>
      <c r="E1173"/>
      <c r="F1173"/>
      <c r="G1173"/>
    </row>
    <row r="1174" spans="1:7" x14ac:dyDescent="0.25">
      <c r="A1174"/>
      <c r="B1174"/>
      <c r="C1174"/>
      <c r="D1174"/>
      <c r="E1174"/>
      <c r="F1174"/>
      <c r="G1174"/>
    </row>
    <row r="1175" spans="1:7" x14ac:dyDescent="0.25">
      <c r="A1175"/>
      <c r="B1175"/>
      <c r="C1175"/>
      <c r="D1175"/>
      <c r="E1175"/>
      <c r="F1175"/>
      <c r="G1175"/>
    </row>
    <row r="1176" spans="1:7" x14ac:dyDescent="0.25">
      <c r="A1176"/>
      <c r="B1176"/>
      <c r="C1176"/>
      <c r="D1176"/>
      <c r="E1176"/>
      <c r="F1176"/>
      <c r="G1176"/>
    </row>
    <row r="1177" spans="1:7" x14ac:dyDescent="0.25">
      <c r="A1177"/>
      <c r="B1177"/>
      <c r="C1177"/>
      <c r="D1177"/>
      <c r="E1177"/>
      <c r="F1177"/>
      <c r="G1177"/>
    </row>
    <row r="1178" spans="1:7" x14ac:dyDescent="0.25">
      <c r="A1178"/>
      <c r="B1178"/>
      <c r="C1178"/>
      <c r="D1178"/>
      <c r="E1178"/>
      <c r="F1178"/>
      <c r="G1178"/>
    </row>
    <row r="1179" spans="1:7" x14ac:dyDescent="0.25">
      <c r="A1179"/>
      <c r="B1179"/>
      <c r="C1179"/>
      <c r="D1179"/>
      <c r="E1179"/>
      <c r="F1179"/>
      <c r="G1179"/>
    </row>
    <row r="1180" spans="1:7" x14ac:dyDescent="0.25">
      <c r="A1180"/>
      <c r="B1180"/>
      <c r="C1180"/>
      <c r="D1180"/>
      <c r="E1180"/>
      <c r="F1180"/>
      <c r="G1180"/>
    </row>
    <row r="1181" spans="1:7" x14ac:dyDescent="0.25">
      <c r="A1181"/>
      <c r="B1181"/>
      <c r="C1181"/>
      <c r="D1181"/>
      <c r="E1181"/>
      <c r="F1181"/>
      <c r="G1181"/>
    </row>
    <row r="1182" spans="1:7" x14ac:dyDescent="0.25">
      <c r="A1182"/>
      <c r="B1182"/>
      <c r="C1182"/>
      <c r="D1182"/>
      <c r="E1182"/>
      <c r="F1182"/>
      <c r="G1182"/>
    </row>
    <row r="1183" spans="1:7" x14ac:dyDescent="0.25">
      <c r="A1183"/>
      <c r="B1183"/>
      <c r="C1183"/>
      <c r="D1183"/>
      <c r="E1183"/>
      <c r="F1183"/>
      <c r="G1183"/>
    </row>
    <row r="1184" spans="1:7" x14ac:dyDescent="0.25">
      <c r="A1184"/>
      <c r="B1184"/>
      <c r="C1184"/>
      <c r="D1184"/>
      <c r="E1184"/>
      <c r="F1184"/>
      <c r="G1184"/>
    </row>
    <row r="1185" spans="1:7" x14ac:dyDescent="0.25">
      <c r="A1185"/>
      <c r="B1185"/>
      <c r="C1185"/>
      <c r="D1185"/>
      <c r="E1185"/>
      <c r="F1185"/>
      <c r="G1185"/>
    </row>
    <row r="1186" spans="1:7" x14ac:dyDescent="0.25">
      <c r="A1186"/>
      <c r="B1186"/>
      <c r="C1186"/>
      <c r="D1186"/>
      <c r="E1186"/>
      <c r="F1186"/>
      <c r="G1186"/>
    </row>
    <row r="1187" spans="1:7" x14ac:dyDescent="0.25">
      <c r="A1187"/>
      <c r="B1187"/>
      <c r="C1187"/>
      <c r="D1187"/>
      <c r="E1187"/>
      <c r="F1187"/>
      <c r="G1187"/>
    </row>
    <row r="1188" spans="1:7" x14ac:dyDescent="0.25">
      <c r="A1188"/>
      <c r="B1188"/>
      <c r="C1188"/>
      <c r="D1188"/>
      <c r="E1188"/>
      <c r="F1188"/>
      <c r="G1188"/>
    </row>
    <row r="1189" spans="1:7" x14ac:dyDescent="0.25">
      <c r="A1189"/>
      <c r="B1189"/>
      <c r="C1189"/>
      <c r="D1189"/>
      <c r="E1189"/>
      <c r="F1189"/>
      <c r="G1189"/>
    </row>
    <row r="1190" spans="1:7" x14ac:dyDescent="0.25">
      <c r="A1190"/>
      <c r="B1190"/>
      <c r="C1190"/>
      <c r="D1190"/>
      <c r="E1190"/>
      <c r="F1190"/>
      <c r="G1190"/>
    </row>
    <row r="1191" spans="1:7" x14ac:dyDescent="0.25">
      <c r="A1191"/>
      <c r="B1191"/>
      <c r="C1191"/>
      <c r="D1191"/>
      <c r="E1191"/>
      <c r="F1191"/>
      <c r="G1191"/>
    </row>
    <row r="1192" spans="1:7" x14ac:dyDescent="0.25">
      <c r="A1192"/>
      <c r="B1192"/>
      <c r="C1192"/>
      <c r="D1192"/>
      <c r="E1192"/>
      <c r="F1192"/>
      <c r="G1192"/>
    </row>
    <row r="1193" spans="1:7" x14ac:dyDescent="0.25">
      <c r="A1193"/>
      <c r="B1193"/>
      <c r="C1193"/>
      <c r="D1193"/>
      <c r="E1193"/>
      <c r="F1193"/>
      <c r="G1193"/>
    </row>
    <row r="1194" spans="1:7" x14ac:dyDescent="0.25">
      <c r="A1194"/>
      <c r="B1194"/>
      <c r="C1194"/>
      <c r="D1194"/>
      <c r="E1194"/>
      <c r="F1194"/>
      <c r="G1194"/>
    </row>
    <row r="1195" spans="1:7" x14ac:dyDescent="0.25">
      <c r="A1195"/>
      <c r="B1195"/>
      <c r="C1195"/>
      <c r="D1195"/>
      <c r="E1195"/>
      <c r="F1195"/>
      <c r="G1195"/>
    </row>
    <row r="1196" spans="1:7" x14ac:dyDescent="0.25">
      <c r="A1196"/>
      <c r="B1196"/>
      <c r="C1196"/>
      <c r="D1196"/>
      <c r="E1196"/>
      <c r="F1196"/>
      <c r="G1196"/>
    </row>
    <row r="1197" spans="1:7" x14ac:dyDescent="0.25">
      <c r="A1197"/>
      <c r="B1197"/>
      <c r="C1197"/>
      <c r="D1197"/>
      <c r="E1197"/>
      <c r="F1197"/>
      <c r="G1197"/>
    </row>
    <row r="1198" spans="1:7" x14ac:dyDescent="0.25">
      <c r="A1198"/>
      <c r="B1198"/>
      <c r="C1198"/>
      <c r="D1198"/>
      <c r="E1198"/>
      <c r="F1198"/>
      <c r="G1198"/>
    </row>
    <row r="1199" spans="1:7" x14ac:dyDescent="0.25">
      <c r="A1199"/>
      <c r="B1199"/>
      <c r="C1199"/>
      <c r="D1199"/>
      <c r="E1199"/>
      <c r="F1199"/>
      <c r="G1199"/>
    </row>
    <row r="1200" spans="1:7" x14ac:dyDescent="0.25">
      <c r="A1200"/>
      <c r="B1200"/>
      <c r="C1200"/>
      <c r="D1200"/>
      <c r="E1200"/>
      <c r="F1200"/>
      <c r="G1200"/>
    </row>
    <row r="1201" spans="1:7" x14ac:dyDescent="0.25">
      <c r="A1201"/>
      <c r="B1201"/>
      <c r="C1201"/>
      <c r="D1201"/>
      <c r="E1201"/>
      <c r="F1201"/>
      <c r="G1201"/>
    </row>
    <row r="1202" spans="1:7" x14ac:dyDescent="0.25">
      <c r="A1202"/>
      <c r="B1202"/>
      <c r="C1202"/>
      <c r="D1202"/>
      <c r="E1202"/>
      <c r="F1202"/>
      <c r="G1202"/>
    </row>
    <row r="1203" spans="1:7" x14ac:dyDescent="0.25">
      <c r="A1203"/>
      <c r="B1203"/>
      <c r="C1203"/>
      <c r="D1203"/>
      <c r="E1203"/>
      <c r="F1203"/>
      <c r="G1203"/>
    </row>
    <row r="1204" spans="1:7" x14ac:dyDescent="0.25">
      <c r="A1204"/>
      <c r="B1204"/>
      <c r="C1204"/>
      <c r="D1204"/>
      <c r="E1204"/>
      <c r="F1204"/>
      <c r="G1204"/>
    </row>
    <row r="1205" spans="1:7" x14ac:dyDescent="0.25">
      <c r="A1205"/>
      <c r="B1205"/>
      <c r="C1205"/>
      <c r="D1205"/>
      <c r="E1205"/>
      <c r="F1205"/>
      <c r="G1205"/>
    </row>
    <row r="1206" spans="1:7" x14ac:dyDescent="0.25">
      <c r="A1206"/>
      <c r="B1206"/>
      <c r="C1206"/>
      <c r="D1206"/>
      <c r="E1206"/>
      <c r="F1206"/>
      <c r="G1206"/>
    </row>
    <row r="1207" spans="1:7" x14ac:dyDescent="0.25">
      <c r="A1207"/>
      <c r="B1207"/>
      <c r="C1207"/>
      <c r="D1207"/>
      <c r="E1207"/>
      <c r="F1207"/>
      <c r="G1207"/>
    </row>
    <row r="1208" spans="1:7" x14ac:dyDescent="0.25">
      <c r="A1208"/>
      <c r="B1208"/>
      <c r="C1208"/>
      <c r="D1208"/>
      <c r="E1208"/>
      <c r="F1208"/>
      <c r="G1208"/>
    </row>
    <row r="1209" spans="1:7" x14ac:dyDescent="0.25">
      <c r="A1209"/>
      <c r="B1209"/>
      <c r="C1209"/>
      <c r="D1209"/>
      <c r="E1209"/>
      <c r="F1209"/>
      <c r="G1209"/>
    </row>
    <row r="1210" spans="1:7" x14ac:dyDescent="0.25">
      <c r="A1210"/>
      <c r="B1210"/>
      <c r="C1210"/>
      <c r="D1210"/>
      <c r="E1210"/>
      <c r="F1210"/>
      <c r="G1210"/>
    </row>
    <row r="1211" spans="1:7" x14ac:dyDescent="0.25">
      <c r="A1211"/>
      <c r="B1211"/>
      <c r="C1211"/>
      <c r="D1211"/>
      <c r="E1211"/>
      <c r="F1211"/>
      <c r="G1211"/>
    </row>
    <row r="1212" spans="1:7" x14ac:dyDescent="0.25">
      <c r="A1212"/>
      <c r="B1212"/>
      <c r="C1212"/>
      <c r="D1212"/>
      <c r="E1212"/>
      <c r="F1212"/>
      <c r="G1212"/>
    </row>
    <row r="1213" spans="1:7" x14ac:dyDescent="0.25">
      <c r="A1213"/>
      <c r="B1213"/>
      <c r="C1213"/>
      <c r="D1213"/>
      <c r="E1213"/>
      <c r="F1213"/>
      <c r="G1213"/>
    </row>
    <row r="1214" spans="1:7" x14ac:dyDescent="0.25">
      <c r="A1214"/>
      <c r="B1214"/>
      <c r="C1214"/>
      <c r="D1214"/>
      <c r="E1214"/>
      <c r="F1214"/>
      <c r="G1214"/>
    </row>
    <row r="1215" spans="1:7" x14ac:dyDescent="0.25">
      <c r="A1215"/>
      <c r="B1215"/>
      <c r="C1215"/>
      <c r="D1215"/>
      <c r="E1215"/>
      <c r="F1215"/>
      <c r="G1215"/>
    </row>
    <row r="1216" spans="1:7" x14ac:dyDescent="0.25">
      <c r="A1216"/>
      <c r="B1216"/>
      <c r="C1216"/>
      <c r="D1216"/>
      <c r="E1216"/>
      <c r="F1216"/>
      <c r="G1216"/>
    </row>
    <row r="1217" spans="1:7" x14ac:dyDescent="0.25">
      <c r="A1217"/>
      <c r="B1217"/>
      <c r="C1217"/>
      <c r="D1217"/>
      <c r="E1217"/>
      <c r="F1217"/>
      <c r="G1217"/>
    </row>
    <row r="1218" spans="1:7" x14ac:dyDescent="0.25">
      <c r="A1218"/>
      <c r="B1218"/>
      <c r="C1218"/>
      <c r="D1218"/>
      <c r="E1218"/>
      <c r="F1218"/>
      <c r="G1218"/>
    </row>
    <row r="1219" spans="1:7" x14ac:dyDescent="0.25">
      <c r="A1219"/>
      <c r="B1219"/>
      <c r="C1219"/>
      <c r="D1219"/>
      <c r="E1219"/>
      <c r="F1219"/>
      <c r="G1219"/>
    </row>
    <row r="1220" spans="1:7" x14ac:dyDescent="0.25">
      <c r="A1220"/>
      <c r="B1220"/>
      <c r="C1220"/>
      <c r="D1220"/>
      <c r="E1220"/>
      <c r="F1220"/>
      <c r="G1220"/>
    </row>
    <row r="1221" spans="1:7" x14ac:dyDescent="0.25">
      <c r="A1221"/>
      <c r="B1221"/>
      <c r="C1221"/>
      <c r="D1221"/>
      <c r="E1221"/>
      <c r="F1221"/>
      <c r="G1221"/>
    </row>
    <row r="1222" spans="1:7" x14ac:dyDescent="0.25">
      <c r="A1222"/>
      <c r="B1222"/>
      <c r="C1222"/>
      <c r="D1222"/>
      <c r="E1222"/>
      <c r="F1222"/>
      <c r="G1222"/>
    </row>
    <row r="1223" spans="1:7" x14ac:dyDescent="0.25">
      <c r="A1223"/>
      <c r="B1223"/>
      <c r="C1223"/>
      <c r="D1223"/>
      <c r="E1223"/>
      <c r="F1223"/>
      <c r="G1223"/>
    </row>
    <row r="1224" spans="1:7" x14ac:dyDescent="0.25">
      <c r="A1224"/>
      <c r="B1224"/>
      <c r="C1224"/>
      <c r="D1224"/>
      <c r="E1224"/>
      <c r="F1224"/>
      <c r="G1224"/>
    </row>
    <row r="1225" spans="1:7" x14ac:dyDescent="0.25">
      <c r="A1225"/>
      <c r="B1225"/>
      <c r="C1225"/>
      <c r="D1225"/>
      <c r="E1225"/>
      <c r="F1225"/>
      <c r="G1225"/>
    </row>
    <row r="1226" spans="1:7" x14ac:dyDescent="0.25">
      <c r="A1226"/>
      <c r="B1226"/>
      <c r="C1226"/>
      <c r="D1226"/>
      <c r="E1226"/>
      <c r="F1226"/>
      <c r="G1226"/>
    </row>
    <row r="1227" spans="1:7" x14ac:dyDescent="0.25">
      <c r="A1227"/>
      <c r="B1227"/>
      <c r="C1227"/>
      <c r="D1227"/>
      <c r="E1227"/>
      <c r="F1227"/>
      <c r="G1227"/>
    </row>
    <row r="1228" spans="1:7" x14ac:dyDescent="0.25">
      <c r="A1228"/>
      <c r="B1228"/>
      <c r="C1228"/>
      <c r="D1228"/>
      <c r="E1228"/>
      <c r="F1228"/>
      <c r="G1228"/>
    </row>
    <row r="1229" spans="1:7" x14ac:dyDescent="0.25">
      <c r="A1229"/>
      <c r="B1229"/>
      <c r="C1229"/>
      <c r="D1229"/>
      <c r="E1229"/>
      <c r="F1229"/>
      <c r="G1229"/>
    </row>
    <row r="1230" spans="1:7" x14ac:dyDescent="0.25">
      <c r="A1230"/>
      <c r="B1230"/>
      <c r="C1230"/>
      <c r="D1230"/>
      <c r="E1230"/>
      <c r="F1230"/>
      <c r="G1230"/>
    </row>
    <row r="1231" spans="1:7" x14ac:dyDescent="0.25">
      <c r="A1231"/>
      <c r="B1231"/>
      <c r="C1231"/>
      <c r="D1231"/>
      <c r="E1231"/>
      <c r="F1231"/>
      <c r="G1231"/>
    </row>
    <row r="1232" spans="1:7" x14ac:dyDescent="0.25">
      <c r="A1232"/>
      <c r="B1232"/>
      <c r="C1232"/>
      <c r="D1232"/>
      <c r="E1232"/>
      <c r="F1232"/>
      <c r="G1232"/>
    </row>
    <row r="1233" spans="1:7" x14ac:dyDescent="0.25">
      <c r="A1233"/>
      <c r="B1233"/>
      <c r="C1233"/>
      <c r="D1233"/>
      <c r="E1233"/>
      <c r="F1233"/>
      <c r="G1233"/>
    </row>
    <row r="1234" spans="1:7" x14ac:dyDescent="0.25">
      <c r="A1234"/>
      <c r="B1234"/>
      <c r="C1234"/>
      <c r="D1234"/>
      <c r="E1234"/>
      <c r="F1234"/>
      <c r="G1234"/>
    </row>
    <row r="1235" spans="1:7" x14ac:dyDescent="0.25">
      <c r="A1235"/>
      <c r="B1235"/>
      <c r="C1235"/>
      <c r="D1235"/>
      <c r="E1235"/>
      <c r="F1235"/>
      <c r="G1235"/>
    </row>
    <row r="1236" spans="1:7" x14ac:dyDescent="0.25">
      <c r="A1236"/>
      <c r="B1236"/>
      <c r="C1236"/>
      <c r="D1236"/>
      <c r="E1236"/>
      <c r="F1236"/>
      <c r="G1236"/>
    </row>
    <row r="1237" spans="1:7" x14ac:dyDescent="0.25">
      <c r="A1237"/>
      <c r="B1237"/>
      <c r="C1237"/>
      <c r="D1237"/>
      <c r="E1237"/>
      <c r="F1237"/>
      <c r="G1237"/>
    </row>
    <row r="1238" spans="1:7" x14ac:dyDescent="0.25">
      <c r="A1238"/>
      <c r="B1238"/>
      <c r="C1238"/>
      <c r="D1238"/>
      <c r="E1238"/>
      <c r="F1238"/>
      <c r="G1238"/>
    </row>
    <row r="1239" spans="1:7" x14ac:dyDescent="0.25">
      <c r="A1239"/>
      <c r="B1239"/>
      <c r="C1239"/>
      <c r="D1239"/>
      <c r="E1239"/>
      <c r="F1239"/>
      <c r="G1239"/>
    </row>
    <row r="1240" spans="1:7" x14ac:dyDescent="0.25">
      <c r="A1240"/>
      <c r="B1240"/>
      <c r="C1240"/>
      <c r="D1240"/>
      <c r="E1240"/>
      <c r="F1240"/>
      <c r="G1240"/>
    </row>
    <row r="1241" spans="1:7" x14ac:dyDescent="0.25">
      <c r="A1241"/>
      <c r="B1241"/>
      <c r="C1241"/>
      <c r="D1241"/>
      <c r="E1241"/>
      <c r="F1241"/>
      <c r="G1241"/>
    </row>
    <row r="1242" spans="1:7" x14ac:dyDescent="0.25">
      <c r="A1242"/>
      <c r="B1242"/>
      <c r="C1242"/>
      <c r="D1242"/>
      <c r="E1242"/>
      <c r="F1242"/>
      <c r="G1242"/>
    </row>
    <row r="1243" spans="1:7" x14ac:dyDescent="0.25">
      <c r="A1243"/>
      <c r="B1243"/>
      <c r="C1243"/>
      <c r="D1243"/>
      <c r="E1243"/>
      <c r="F1243"/>
      <c r="G1243"/>
    </row>
    <row r="1244" spans="1:7" x14ac:dyDescent="0.25">
      <c r="A1244"/>
      <c r="B1244"/>
      <c r="C1244"/>
      <c r="D1244"/>
      <c r="E1244"/>
      <c r="F1244"/>
      <c r="G1244"/>
    </row>
    <row r="1245" spans="1:7" x14ac:dyDescent="0.25">
      <c r="A1245"/>
      <c r="B1245"/>
      <c r="C1245"/>
      <c r="D1245"/>
      <c r="E1245"/>
      <c r="F1245"/>
      <c r="G1245"/>
    </row>
    <row r="1246" spans="1:7" x14ac:dyDescent="0.25">
      <c r="A1246"/>
      <c r="B1246"/>
      <c r="C1246"/>
      <c r="D1246"/>
      <c r="E1246"/>
      <c r="F1246"/>
      <c r="G1246"/>
    </row>
    <row r="1247" spans="1:7" x14ac:dyDescent="0.25">
      <c r="A1247"/>
      <c r="B1247"/>
      <c r="C1247"/>
      <c r="D1247"/>
      <c r="E1247"/>
      <c r="F1247"/>
      <c r="G1247"/>
    </row>
    <row r="1248" spans="1:7" x14ac:dyDescent="0.25">
      <c r="A1248"/>
      <c r="B1248"/>
      <c r="C1248"/>
      <c r="D1248"/>
      <c r="E1248"/>
      <c r="F1248"/>
      <c r="G1248"/>
    </row>
    <row r="1249" spans="1:7" x14ac:dyDescent="0.25">
      <c r="A1249"/>
      <c r="B1249"/>
      <c r="C1249"/>
      <c r="D1249"/>
      <c r="E1249"/>
      <c r="F1249"/>
      <c r="G1249"/>
    </row>
    <row r="1250" spans="1:7" x14ac:dyDescent="0.25">
      <c r="A1250"/>
      <c r="B1250"/>
      <c r="C1250"/>
      <c r="D1250"/>
      <c r="E1250"/>
      <c r="F1250"/>
      <c r="G1250"/>
    </row>
    <row r="1251" spans="1:7" x14ac:dyDescent="0.25">
      <c r="A1251"/>
      <c r="B1251"/>
      <c r="C1251"/>
      <c r="D1251"/>
      <c r="E1251"/>
      <c r="F1251"/>
      <c r="G1251"/>
    </row>
    <row r="1252" spans="1:7" x14ac:dyDescent="0.25">
      <c r="A1252"/>
      <c r="B1252"/>
      <c r="C1252"/>
      <c r="D1252"/>
      <c r="E1252"/>
      <c r="F1252"/>
      <c r="G1252"/>
    </row>
    <row r="1253" spans="1:7" x14ac:dyDescent="0.25">
      <c r="A1253"/>
      <c r="B1253"/>
      <c r="C1253"/>
      <c r="D1253"/>
      <c r="E1253"/>
      <c r="F1253"/>
      <c r="G1253"/>
    </row>
    <row r="1254" spans="1:7" x14ac:dyDescent="0.25">
      <c r="A1254"/>
      <c r="B1254"/>
      <c r="C1254"/>
      <c r="D1254"/>
      <c r="E1254"/>
      <c r="F1254"/>
      <c r="G1254"/>
    </row>
    <row r="1255" spans="1:7" x14ac:dyDescent="0.25">
      <c r="A1255"/>
      <c r="B1255"/>
      <c r="C1255"/>
      <c r="D1255"/>
      <c r="E1255"/>
      <c r="F1255"/>
      <c r="G1255"/>
    </row>
    <row r="1256" spans="1:7" x14ac:dyDescent="0.25">
      <c r="A1256"/>
      <c r="B1256"/>
      <c r="C1256"/>
      <c r="D1256"/>
      <c r="E1256"/>
      <c r="F1256"/>
      <c r="G1256"/>
    </row>
    <row r="1257" spans="1:7" x14ac:dyDescent="0.25">
      <c r="A1257"/>
      <c r="B1257"/>
      <c r="C1257"/>
      <c r="D1257"/>
      <c r="E1257"/>
      <c r="F1257"/>
      <c r="G1257"/>
    </row>
    <row r="1258" spans="1:7" x14ac:dyDescent="0.25">
      <c r="A1258"/>
      <c r="B1258"/>
      <c r="C1258"/>
      <c r="D1258"/>
      <c r="E1258"/>
      <c r="F1258"/>
      <c r="G1258"/>
    </row>
    <row r="1259" spans="1:7" x14ac:dyDescent="0.25">
      <c r="A1259"/>
      <c r="B1259"/>
      <c r="C1259"/>
      <c r="D1259"/>
      <c r="E1259"/>
      <c r="F1259"/>
      <c r="G1259"/>
    </row>
    <row r="1260" spans="1:7" x14ac:dyDescent="0.25">
      <c r="A1260"/>
      <c r="B1260"/>
      <c r="C1260"/>
      <c r="D1260"/>
      <c r="E1260"/>
      <c r="F1260"/>
      <c r="G1260"/>
    </row>
    <row r="1261" spans="1:7" x14ac:dyDescent="0.25">
      <c r="A1261"/>
      <c r="B1261"/>
      <c r="C1261"/>
      <c r="D1261"/>
      <c r="E1261"/>
      <c r="F1261"/>
      <c r="G1261"/>
    </row>
    <row r="1262" spans="1:7" x14ac:dyDescent="0.25">
      <c r="A1262"/>
      <c r="B1262"/>
      <c r="C1262"/>
      <c r="D1262"/>
      <c r="E1262"/>
      <c r="F1262"/>
      <c r="G1262"/>
    </row>
    <row r="1263" spans="1:7" x14ac:dyDescent="0.25">
      <c r="A1263"/>
      <c r="B1263"/>
      <c r="C1263"/>
      <c r="D1263"/>
      <c r="E1263"/>
      <c r="F1263"/>
      <c r="G1263"/>
    </row>
    <row r="1264" spans="1:7" x14ac:dyDescent="0.25">
      <c r="A1264"/>
      <c r="B1264"/>
      <c r="C1264"/>
      <c r="D1264"/>
      <c r="E1264"/>
      <c r="F1264"/>
      <c r="G1264"/>
    </row>
    <row r="1265" spans="1:7" x14ac:dyDescent="0.25">
      <c r="A1265"/>
      <c r="B1265"/>
      <c r="C1265"/>
      <c r="D1265"/>
      <c r="E1265"/>
      <c r="F1265"/>
      <c r="G1265"/>
    </row>
    <row r="1266" spans="1:7" x14ac:dyDescent="0.25">
      <c r="A1266"/>
      <c r="B1266"/>
      <c r="C1266"/>
      <c r="D1266"/>
      <c r="E1266"/>
      <c r="F1266"/>
      <c r="G1266"/>
    </row>
    <row r="1267" spans="1:7" x14ac:dyDescent="0.25">
      <c r="A1267"/>
      <c r="B1267"/>
      <c r="C1267"/>
      <c r="D1267"/>
      <c r="E1267"/>
      <c r="F1267"/>
      <c r="G1267"/>
    </row>
    <row r="1268" spans="1:7" x14ac:dyDescent="0.25">
      <c r="A1268"/>
      <c r="B1268"/>
      <c r="C1268"/>
      <c r="D1268"/>
      <c r="E1268"/>
      <c r="F1268"/>
      <c r="G1268"/>
    </row>
    <row r="1269" spans="1:7" x14ac:dyDescent="0.25">
      <c r="A1269"/>
      <c r="B1269"/>
      <c r="C1269"/>
      <c r="D1269"/>
      <c r="E1269"/>
      <c r="F1269"/>
      <c r="G1269"/>
    </row>
    <row r="1270" spans="1:7" x14ac:dyDescent="0.25">
      <c r="A1270"/>
      <c r="B1270"/>
      <c r="C1270"/>
      <c r="D1270"/>
      <c r="E1270"/>
      <c r="F1270"/>
      <c r="G1270"/>
    </row>
    <row r="1271" spans="1:7" x14ac:dyDescent="0.25">
      <c r="A1271"/>
      <c r="B1271"/>
      <c r="C1271"/>
      <c r="D1271"/>
      <c r="E1271"/>
      <c r="F1271"/>
      <c r="G1271"/>
    </row>
    <row r="1272" spans="1:7" x14ac:dyDescent="0.25">
      <c r="A1272"/>
      <c r="B1272"/>
      <c r="C1272"/>
      <c r="D1272"/>
      <c r="E1272"/>
      <c r="F1272"/>
      <c r="G1272"/>
    </row>
    <row r="1273" spans="1:7" x14ac:dyDescent="0.25">
      <c r="A1273"/>
      <c r="B1273"/>
      <c r="C1273"/>
      <c r="D1273"/>
      <c r="E1273"/>
      <c r="F1273"/>
      <c r="G1273"/>
    </row>
    <row r="1274" spans="1:7" x14ac:dyDescent="0.25">
      <c r="A1274"/>
      <c r="B1274"/>
      <c r="C1274"/>
      <c r="D1274"/>
      <c r="E1274"/>
      <c r="F1274"/>
      <c r="G1274"/>
    </row>
    <row r="1275" spans="1:7" x14ac:dyDescent="0.25">
      <c r="A1275"/>
      <c r="B1275"/>
      <c r="C1275"/>
      <c r="D1275"/>
      <c r="E1275"/>
      <c r="F1275"/>
      <c r="G1275"/>
    </row>
    <row r="1276" spans="1:7" x14ac:dyDescent="0.25">
      <c r="A1276"/>
      <c r="B1276"/>
      <c r="C1276"/>
      <c r="D1276"/>
      <c r="E1276"/>
      <c r="F1276"/>
      <c r="G1276"/>
    </row>
    <row r="1277" spans="1:7" x14ac:dyDescent="0.25">
      <c r="A1277"/>
      <c r="B1277"/>
      <c r="C1277"/>
      <c r="D1277"/>
      <c r="E1277"/>
      <c r="F1277"/>
      <c r="G1277"/>
    </row>
    <row r="1278" spans="1:7" x14ac:dyDescent="0.25">
      <c r="A1278"/>
      <c r="B1278"/>
      <c r="C1278"/>
      <c r="D1278"/>
      <c r="E1278"/>
      <c r="F1278"/>
      <c r="G1278"/>
    </row>
    <row r="1279" spans="1:7" x14ac:dyDescent="0.25">
      <c r="A1279"/>
      <c r="B1279"/>
      <c r="C1279"/>
      <c r="D1279"/>
      <c r="E1279"/>
      <c r="F1279"/>
      <c r="G1279"/>
    </row>
    <row r="1280" spans="1:7" x14ac:dyDescent="0.25">
      <c r="A1280"/>
      <c r="B1280"/>
      <c r="C1280"/>
      <c r="D1280"/>
      <c r="E1280"/>
      <c r="F1280"/>
      <c r="G1280"/>
    </row>
    <row r="1281" spans="1:7" x14ac:dyDescent="0.25">
      <c r="A1281"/>
      <c r="B1281"/>
      <c r="C1281"/>
      <c r="D1281"/>
      <c r="E1281"/>
      <c r="F1281"/>
      <c r="G1281"/>
    </row>
    <row r="1282" spans="1:7" x14ac:dyDescent="0.25">
      <c r="A1282"/>
      <c r="B1282"/>
      <c r="C1282"/>
      <c r="D1282"/>
      <c r="E1282"/>
      <c r="F1282"/>
      <c r="G1282"/>
    </row>
    <row r="1283" spans="1:7" x14ac:dyDescent="0.25">
      <c r="A1283"/>
      <c r="B1283"/>
      <c r="C1283"/>
      <c r="D1283"/>
      <c r="E1283"/>
      <c r="F1283"/>
      <c r="G1283"/>
    </row>
    <row r="1284" spans="1:7" x14ac:dyDescent="0.25">
      <c r="A1284"/>
      <c r="B1284"/>
      <c r="C1284"/>
      <c r="D1284"/>
      <c r="E1284"/>
      <c r="F1284"/>
      <c r="G1284"/>
    </row>
    <row r="1285" spans="1:7" x14ac:dyDescent="0.25">
      <c r="A1285"/>
      <c r="B1285"/>
      <c r="C1285"/>
      <c r="D1285"/>
      <c r="E1285"/>
      <c r="F1285"/>
      <c r="G1285"/>
    </row>
    <row r="1286" spans="1:7" x14ac:dyDescent="0.25">
      <c r="A1286"/>
      <c r="B1286"/>
      <c r="C1286"/>
      <c r="D1286"/>
      <c r="E1286"/>
      <c r="F1286"/>
      <c r="G1286"/>
    </row>
    <row r="1287" spans="1:7" x14ac:dyDescent="0.25">
      <c r="A1287"/>
      <c r="B1287"/>
      <c r="C1287"/>
      <c r="D1287"/>
      <c r="E1287"/>
      <c r="F1287"/>
      <c r="G1287"/>
    </row>
    <row r="1288" spans="1:7" x14ac:dyDescent="0.25">
      <c r="A1288"/>
      <c r="B1288"/>
      <c r="C1288"/>
      <c r="D1288"/>
      <c r="E1288"/>
      <c r="F1288"/>
      <c r="G1288"/>
    </row>
    <row r="1289" spans="1:7" x14ac:dyDescent="0.25">
      <c r="A1289"/>
      <c r="B1289"/>
      <c r="C1289"/>
      <c r="D1289"/>
      <c r="E1289"/>
      <c r="F1289"/>
      <c r="G1289"/>
    </row>
    <row r="1290" spans="1:7" x14ac:dyDescent="0.25">
      <c r="A1290"/>
      <c r="B1290"/>
      <c r="C1290"/>
      <c r="D1290"/>
      <c r="E1290"/>
      <c r="F1290"/>
      <c r="G1290"/>
    </row>
    <row r="1291" spans="1:7" x14ac:dyDescent="0.25">
      <c r="A1291"/>
      <c r="B1291"/>
      <c r="C1291"/>
      <c r="D1291"/>
      <c r="E1291"/>
      <c r="F1291"/>
      <c r="G1291"/>
    </row>
    <row r="1292" spans="1:7" x14ac:dyDescent="0.25">
      <c r="A1292"/>
      <c r="B1292"/>
      <c r="C1292"/>
      <c r="D1292"/>
      <c r="E1292"/>
      <c r="F1292"/>
      <c r="G1292"/>
    </row>
    <row r="1293" spans="1:7" x14ac:dyDescent="0.25">
      <c r="A1293"/>
      <c r="B1293"/>
      <c r="C1293"/>
      <c r="D1293"/>
      <c r="E1293"/>
      <c r="F1293"/>
      <c r="G1293"/>
    </row>
    <row r="1294" spans="1:7" x14ac:dyDescent="0.25">
      <c r="A1294"/>
      <c r="B1294"/>
      <c r="C1294"/>
      <c r="D1294"/>
      <c r="E1294"/>
      <c r="F1294"/>
      <c r="G1294"/>
    </row>
    <row r="1295" spans="1:7" x14ac:dyDescent="0.25">
      <c r="A1295"/>
      <c r="B1295"/>
      <c r="C1295"/>
      <c r="D1295"/>
      <c r="E1295"/>
      <c r="F1295"/>
      <c r="G1295"/>
    </row>
    <row r="1296" spans="1:7" x14ac:dyDescent="0.25">
      <c r="A1296"/>
      <c r="B1296"/>
      <c r="C1296"/>
      <c r="D1296"/>
      <c r="E1296"/>
      <c r="F1296"/>
      <c r="G1296"/>
    </row>
    <row r="1297" spans="1:7" x14ac:dyDescent="0.25">
      <c r="A1297"/>
      <c r="B1297"/>
      <c r="C1297"/>
      <c r="D1297"/>
      <c r="E1297"/>
      <c r="F1297"/>
      <c r="G1297"/>
    </row>
    <row r="1298" spans="1:7" x14ac:dyDescent="0.25">
      <c r="A1298"/>
      <c r="B1298"/>
      <c r="C1298"/>
      <c r="D1298"/>
      <c r="E1298"/>
      <c r="F1298"/>
      <c r="G1298"/>
    </row>
    <row r="1299" spans="1:7" x14ac:dyDescent="0.25">
      <c r="A1299"/>
      <c r="B1299"/>
      <c r="C1299"/>
      <c r="D1299"/>
      <c r="E1299"/>
      <c r="F1299"/>
      <c r="G1299"/>
    </row>
  </sheetData>
  <sheetProtection algorithmName="SHA-512" hashValue="WrbaaQDmSsJm+9H21S+M244rvEsst7ZDSHR/7/htShkV63QYL7hqIITXRfAQmD0Ov3WfEVYkr199aypTAbRpLA==" saltValue="ZL7TRRQhx4Doh1wtZo/MGg==" spinCount="100000" sheet="1" objects="1" scenarios="1"/>
  <sortState xmlns:xlrd2="http://schemas.microsoft.com/office/spreadsheetml/2017/richdata2" ref="AI2:AI179">
    <sortCondition ref="AI2:AI179"/>
  </sortState>
  <mergeCells count="5">
    <mergeCell ref="D102:G102"/>
    <mergeCell ref="H102:K102"/>
    <mergeCell ref="A102:B102"/>
    <mergeCell ref="B207:C207"/>
    <mergeCell ref="F390:G390"/>
  </mergeCells>
  <phoneticPr fontId="0" type="noConversion"/>
  <dataValidations disablePrompts="1" count="1">
    <dataValidation type="list" allowBlank="1" showInputMessage="1" showErrorMessage="1" sqref="BC2" xr:uid="{00000000-0002-0000-0300-000000000000}">
      <formula1>INDIRECT($BC$1)</formula1>
    </dataValidation>
  </dataValidations>
  <pageMargins left="0.74803149606299213" right="0.74803149606299213" top="0.98425196850393704" bottom="0.98425196850393704" header="0" footer="0"/>
  <pageSetup paperSize="9" scale="37" orientation="landscape" r:id="rId1"/>
  <headerFooter alignWithMargins="0"/>
  <rowBreaks count="2" manualBreakCount="2">
    <brk id="93" max="16383" man="1"/>
    <brk id="1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1:BA112"/>
  <sheetViews>
    <sheetView showGridLines="0" topLeftCell="AB74" zoomScale="98" zoomScaleNormal="98" workbookViewId="0">
      <selection activeCell="AM94" sqref="AM94:AN101"/>
    </sheetView>
  </sheetViews>
  <sheetFormatPr baseColWidth="10" defaultColWidth="11.6640625" defaultRowHeight="13.2" x14ac:dyDescent="0.25"/>
  <cols>
    <col min="1" max="27" width="17.6640625" hidden="1" customWidth="1"/>
    <col min="29" max="29" width="20.109375" customWidth="1"/>
    <col min="32" max="32" width="14.109375" customWidth="1"/>
    <col min="37" max="37" width="13.33203125" bestFit="1" customWidth="1"/>
    <col min="40" max="53" width="11.6640625" hidden="1" customWidth="1"/>
  </cols>
  <sheetData>
    <row r="1" spans="1:40" x14ac:dyDescent="0.25">
      <c r="A1" s="1176" t="s">
        <v>567</v>
      </c>
      <c r="B1" s="844">
        <f>FORMULARIO!F54</f>
        <v>0</v>
      </c>
      <c r="C1" s="845">
        <f>FORMULARIO!F57</f>
        <v>0</v>
      </c>
      <c r="D1" s="844"/>
      <c r="E1" s="846" t="str">
        <f>AF2</f>
        <v/>
      </c>
      <c r="F1" s="617"/>
      <c r="G1" s="617"/>
      <c r="H1" s="618"/>
      <c r="J1" s="572" t="s">
        <v>297</v>
      </c>
      <c r="K1" s="104"/>
      <c r="L1" s="104"/>
      <c r="M1" s="104"/>
      <c r="N1" s="104"/>
      <c r="O1" s="868">
        <v>0.58402777777777803</v>
      </c>
      <c r="P1" s="1209">
        <v>0.625694444444444</v>
      </c>
      <c r="AB1" s="1"/>
      <c r="AE1" t="s">
        <v>568</v>
      </c>
      <c r="AL1" s="970" t="str">
        <f>INICIO!M1</f>
        <v>V24</v>
      </c>
      <c r="AM1" s="678">
        <f>INICIO!N1</f>
        <v>46288</v>
      </c>
    </row>
    <row r="2" spans="1:40" x14ac:dyDescent="0.25">
      <c r="A2" s="856" t="s">
        <v>569</v>
      </c>
      <c r="B2" s="831" t="str">
        <f>IF(OR(FORMULARIO!C54="",FORMULARIO!C57=""),"",(FORMULARIO!C57-FORMULARIO!C54)+1)</f>
        <v/>
      </c>
      <c r="E2" s="1175" t="s">
        <v>570</v>
      </c>
      <c r="F2" s="192" t="str">
        <f>FORMULARIO!G53</f>
        <v/>
      </c>
      <c r="H2" s="611"/>
      <c r="I2" s="192" t="str">
        <f>FORMULARIO!G54</f>
        <v>Elija la Opción    ▼</v>
      </c>
      <c r="J2" s="104" t="s">
        <v>305</v>
      </c>
      <c r="K2" s="104"/>
      <c r="L2" s="104"/>
      <c r="M2" s="104"/>
      <c r="N2" s="104"/>
      <c r="O2" s="104"/>
      <c r="AF2" s="578" t="str">
        <f>IFERROR(VLOOKUP(AI6,ANEXO!N2:U62,8,0),"")</f>
        <v/>
      </c>
      <c r="AN2" s="67"/>
    </row>
    <row r="3" spans="1:40" x14ac:dyDescent="0.25">
      <c r="A3" s="1465" t="s">
        <v>571</v>
      </c>
      <c r="B3" s="828" t="s">
        <v>572</v>
      </c>
      <c r="C3" s="830">
        <f>IF(E1=J1,O1,O3)</f>
        <v>0.58333333333333304</v>
      </c>
      <c r="D3" s="830"/>
      <c r="E3" s="833" t="s">
        <v>309</v>
      </c>
      <c r="F3" s="838" t="str">
        <f>IF(AND(OR(E1=J1,E1=J3,E1=J6),B2&gt;1,B1&lt;C3),E3,"")</f>
        <v/>
      </c>
      <c r="G3" s="465"/>
      <c r="H3" s="848">
        <f>IF(B2="",0,IF(F3&lt;&gt;"","1",0))</f>
        <v>0</v>
      </c>
      <c r="I3" s="1488"/>
      <c r="J3" s="552" t="s">
        <v>310</v>
      </c>
      <c r="K3" s="104"/>
      <c r="L3" s="104"/>
      <c r="M3" s="104"/>
      <c r="N3" s="104"/>
      <c r="O3" s="868">
        <v>0.58333333333333304</v>
      </c>
      <c r="P3" s="1209">
        <v>0.625</v>
      </c>
    </row>
    <row r="4" spans="1:40" x14ac:dyDescent="0.25">
      <c r="A4" s="1466"/>
      <c r="B4" s="829" t="s">
        <v>573</v>
      </c>
      <c r="C4" s="830">
        <f>IF(E1=J1,O1,O3)</f>
        <v>0.58333333333333304</v>
      </c>
      <c r="D4" s="830">
        <v>0.91666666666666696</v>
      </c>
      <c r="E4" s="833" t="s">
        <v>301</v>
      </c>
      <c r="F4" s="836" t="str">
        <f>IF(AND(OR(E1=J1,E1=J3,E1=J6),B2&gt;1,B1&gt;=C3,B1&lt;D4),E4,"")</f>
        <v/>
      </c>
      <c r="G4" s="837"/>
      <c r="H4" s="848">
        <f>IF(B2="",0,IF(F4&lt;&gt;"","1",0))</f>
        <v>0</v>
      </c>
      <c r="I4" s="1488"/>
      <c r="J4" s="723" t="s">
        <v>313</v>
      </c>
      <c r="K4" s="104"/>
      <c r="L4" s="104"/>
      <c r="M4" s="104"/>
      <c r="N4" s="104"/>
      <c r="O4" s="104"/>
      <c r="AD4" s="3" t="str">
        <f>IF(OR(FORMULARIO!B3&lt;&gt;"",FORMULARIO!B4&lt;&gt;"",FORMULARIO!B5&lt;&gt;"",FORMULARIO!B6&lt;&gt;"",FORMULARIO!F9&lt;&gt;"",FORMULARIO!B8&lt;&gt;""),"La liquidación presenta errores, por favor, revise el formulario y el cuadro de aviso para verificar los datos pendientes de completar","Esta Liquidación deberá justificar TODOS los gastos relacionados con el viaje y adjuntar la Comisión de Servicio Original.")</f>
        <v>La liquidación presenta errores, por favor, revise el formulario y el cuadro de aviso para verificar los datos pendientes de completar</v>
      </c>
    </row>
    <row r="5" spans="1:40" x14ac:dyDescent="0.25">
      <c r="A5" s="1467"/>
      <c r="B5" s="829" t="s">
        <v>574</v>
      </c>
      <c r="C5" s="830">
        <v>0.91666666666666696</v>
      </c>
      <c r="D5" s="830">
        <v>1</v>
      </c>
      <c r="E5" s="829" t="s">
        <v>575</v>
      </c>
      <c r="F5" s="839" t="str">
        <f>IF(AND(OR(E1=J1,E1=J3,E1=J6),B2&gt;1,B1&gt;C5),E5,"")</f>
        <v/>
      </c>
      <c r="G5" s="840"/>
      <c r="H5" s="629"/>
      <c r="I5" s="1488"/>
      <c r="J5" s="488" t="s">
        <v>315</v>
      </c>
      <c r="K5" s="104"/>
      <c r="L5" s="104"/>
      <c r="M5" s="104"/>
      <c r="N5" s="104"/>
      <c r="O5" s="104"/>
    </row>
    <row r="6" spans="1:40" x14ac:dyDescent="0.25">
      <c r="A6" s="610"/>
      <c r="H6" s="611"/>
      <c r="J6" s="1174" t="s">
        <v>1182</v>
      </c>
      <c r="K6" s="104"/>
      <c r="L6" s="104"/>
      <c r="M6" s="104"/>
      <c r="N6" s="104"/>
      <c r="O6" s="104"/>
      <c r="AE6" s="67" t="str">
        <f>IF(OR(FORMULARIO!B3&lt;&gt;"",FORMULARIO!B4&lt;&gt;"",FORMULARIO!B5&lt;&gt;"",FORMULARIO!B6&lt;&gt;"",FORMULARIO!F9&lt;&gt;"",FORMULARIO!B8&lt;&gt;""),"","Orgánica:")</f>
        <v/>
      </c>
      <c r="AF6" s="1154" t="str">
        <f>IF(OR(FORMULARIO!B3&lt;&gt;"",FORMULARIO!B4&lt;&gt;"",FORMULARIO!B5&lt;&gt;"",FORMULARIO!B6&lt;&gt;"",FORMULARIO!F9&lt;&gt;"",FORMULARIO!B8&lt;&gt;""),"",FORMULARIO!C24)</f>
        <v/>
      </c>
      <c r="AG6" s="970" t="str">
        <f>IF(OR(FORMULARIO!B3&lt;&gt;"",FORMULARIO!B4&lt;&gt;"",FORMULARIO!B5&lt;&gt;"",FORMULARIO!B6&lt;&gt;"",FORMULARIO!F9&lt;&gt;"",FORMULARIO!B8&lt;&gt;""),"","Proyecto")</f>
        <v/>
      </c>
      <c r="AH6" t="str">
        <f>IF(OR(FORMULARIO!B3&lt;&gt;"",FORMULARIO!B4&lt;&gt;"",FORMULARIO!B5&lt;&gt;"",FORMULARIO!B6&lt;&gt;"",FORMULARIO!F9&lt;&gt;"",FORMULARIO!B8&lt;&gt;""),"",FORMULARIO!F24)</f>
        <v/>
      </c>
      <c r="AI6" s="578" t="str">
        <f>FORMULARIO!V20</f>
        <v>Elija la Opción    ▼</v>
      </c>
      <c r="AN6" t="str">
        <f>FORMULARIO!G53</f>
        <v/>
      </c>
    </row>
    <row r="7" spans="1:40" x14ac:dyDescent="0.25">
      <c r="A7" s="849" t="s">
        <v>576</v>
      </c>
      <c r="B7" s="832"/>
      <c r="C7" s="471"/>
      <c r="D7" s="465"/>
      <c r="E7" s="835" t="s">
        <v>309</v>
      </c>
      <c r="F7" s="548" t="str">
        <f>IF(AND(OR(E1=J1,E1=J3,E1=J6),B2&gt;1),E7,"")</f>
        <v/>
      </c>
      <c r="G7" s="465"/>
      <c r="H7" s="850">
        <f>IF(B2="",0,IF(F7="",0,B2-2))</f>
        <v>0</v>
      </c>
      <c r="J7" s="155">
        <v>4.1666666666666699E-2</v>
      </c>
      <c r="L7" s="1173">
        <v>0.625</v>
      </c>
      <c r="AC7" t="str">
        <f>IF(OR(FORMULARIO!B3&lt;&gt;"",FORMULARIO!B4&lt;&gt;"",FORMULARIO!B5&lt;&gt;"",FORMULARIO!B6&lt;&gt;"",FORMULARIO!F9&lt;&gt;"",FORMULARIO!B8&lt;&gt;""),"","Subdirección de Gestión")</f>
        <v/>
      </c>
      <c r="AD7" t="s">
        <v>568</v>
      </c>
      <c r="AE7" s="1010" t="str">
        <f>IF(OR(FORMULARIO!B3&lt;&gt;"",FORMULARIO!B4&lt;&gt;"",FORMULARIO!B5&lt;&gt;"",FORMULARIO!B6&lt;&gt;"",FORMULARIO!F9&lt;&gt;"",FORMULARIO!B8&lt;&gt;""),"",FORMULARIO!B11)</f>
        <v/>
      </c>
      <c r="AH7" s="1010" t="str">
        <f>IF(OR(FORMULARIO!B3&lt;&gt;"",FORMULARIO!B4&lt;&gt;"",FORMULARIO!B5&lt;&gt;"",FORMULARIO!B6&lt;&gt;"",FORMULARIO!F9&lt;&gt;"",FORMULARIO!B8&lt;&gt;""),"",FORMULARIO!E11)</f>
        <v/>
      </c>
      <c r="AN7" t="str">
        <f>FORMULARIO!G54</f>
        <v>Elija la Opción    ▼</v>
      </c>
    </row>
    <row r="8" spans="1:40" x14ac:dyDescent="0.25">
      <c r="A8" s="610"/>
      <c r="H8" s="611"/>
      <c r="J8" s="699">
        <v>0.999305555555556</v>
      </c>
      <c r="L8" s="1099">
        <v>0.875</v>
      </c>
      <c r="AC8" t="str">
        <f>IF(OR(FORMULARIO!B3&lt;&gt;"",FORMULARIO!B4&lt;&gt;"",FORMULARIO!B5&lt;&gt;"",FORMULARIO!B6&lt;&gt;"",FORMULARIO!F9&lt;&gt;"",FORMULARIO!B8&lt;&gt;""),"","Económica de la Investigación")</f>
        <v/>
      </c>
    </row>
    <row r="9" spans="1:40" ht="13.8" thickBot="1" x14ac:dyDescent="0.3">
      <c r="A9" s="1468" t="s">
        <v>577</v>
      </c>
      <c r="B9" s="829" t="s">
        <v>578</v>
      </c>
      <c r="C9" s="830">
        <f>IF(E1=J1,P1,P3)</f>
        <v>0.625</v>
      </c>
      <c r="D9" s="581"/>
      <c r="E9" s="828" t="s">
        <v>575</v>
      </c>
      <c r="F9" s="548" t="str">
        <f>IF(AND(OR(E1=J1,E1=J3,E1=J6),B2&gt;1,C1&lt;C9),E9,"")</f>
        <v/>
      </c>
      <c r="G9" s="834"/>
      <c r="H9" s="848"/>
      <c r="AF9" s="1085" t="str">
        <f>IF(AG10=AN10,"ESTA LIQUIDACIÓN TIENEN QUE FIRMARLA ELECTRÓNICAMENTE EL I.P. Y EL TITULAR DE LA LIQUIDACIÓN",IF(AG10=AN11,"ESTA LIQUIDACIÓN SOLO TIENE QUE SER FIRMARLA POR EL I.P. (POR PORTAFIRMAS U.S)",""))</f>
        <v/>
      </c>
    </row>
    <row r="10" spans="1:40" ht="13.8" x14ac:dyDescent="0.25">
      <c r="A10" s="1469"/>
      <c r="B10" s="829" t="s">
        <v>579</v>
      </c>
      <c r="C10" s="841">
        <f>IF(E1=J1,P1,P3)</f>
        <v>0.625</v>
      </c>
      <c r="D10" s="841">
        <v>0.91666666666666696</v>
      </c>
      <c r="E10" s="165" t="s">
        <v>301</v>
      </c>
      <c r="F10" s="548" t="str">
        <f>IF(AND(OR(E1=J1,E1=J3,E1=J6),B2&gt;1,C1&gt;C10,C1&lt;=D10),E10,"")</f>
        <v/>
      </c>
      <c r="G10" s="834"/>
      <c r="H10" s="848">
        <f>IF(B2="",0,IF(F10&lt;&gt;"","1",0))</f>
        <v>0</v>
      </c>
      <c r="J10" t="s">
        <v>580</v>
      </c>
      <c r="AC10" s="971" t="str">
        <f>IF(OR(FORMULARIO!B3&lt;&gt;"",FORMULARIO!B4&lt;&gt;"",FORMULARIO!B5&lt;&gt;"",FORMULARIO!B6&lt;&gt;"",FORMULARIO!F9&lt;&gt;"",FORMULARIO!B8&lt;&gt;""),"","DATOS DEL TITULAR")</f>
        <v/>
      </c>
      <c r="AD10" s="617"/>
      <c r="AE10" s="1487" t="str">
        <f>IF(OR(FORMULARIO!B3&lt;&gt;"",FORMULARIO!B4&lt;&gt;"",FORMULARIO!B5&lt;&gt;"",FORMULARIO!B6&lt;&gt;"",FORMULARIO!F9&lt;&gt;"",FORMULARIO!B8&lt;&gt;""),"","NACIONALIDAD")</f>
        <v/>
      </c>
      <c r="AF10" s="1487"/>
      <c r="AG10" s="617" t="str">
        <f>IF(OR(FORMULARIO!B3&lt;&gt;"",FORMULARIO!B4&lt;&gt;"",FORMULARIO!B5&lt;&gt;"",FORMULARIO!B6&lt;&gt;"",FORMULARIO!F9&lt;&gt;"",FORMULARIO!B8&lt;&gt;""),"",FORMULARIO!H16)</f>
        <v/>
      </c>
      <c r="AH10" s="617"/>
      <c r="AI10" s="617"/>
      <c r="AJ10" s="617"/>
      <c r="AK10" s="617"/>
      <c r="AL10" s="617"/>
      <c r="AM10" s="618"/>
      <c r="AN10" t="s">
        <v>21</v>
      </c>
    </row>
    <row r="11" spans="1:40" ht="13.8" thickBot="1" x14ac:dyDescent="0.3">
      <c r="A11" s="1470"/>
      <c r="B11" s="851" t="s">
        <v>574</v>
      </c>
      <c r="C11" s="852">
        <v>0.91666666666666696</v>
      </c>
      <c r="D11" s="841">
        <v>1</v>
      </c>
      <c r="E11" s="851" t="s">
        <v>581</v>
      </c>
      <c r="F11" s="853" t="str">
        <f>IF(AND(OR(E1=J1,E1=J3,E1=J6),B2&gt;1,C1&gt;C11,C1&lt;D11),E11,"")</f>
        <v/>
      </c>
      <c r="G11" s="854"/>
      <c r="H11" s="855">
        <f>IF(B2="",0,IF(F11&lt;&gt;"","1",0))</f>
        <v>0</v>
      </c>
      <c r="J11" s="841" t="s">
        <v>582</v>
      </c>
      <c r="K11" s="1017">
        <v>0.91666666666666696</v>
      </c>
      <c r="N11" s="621" t="s">
        <v>536</v>
      </c>
      <c r="AC11" s="972" t="str">
        <f>IF(OR(FORMULARIO!B3&lt;&gt;"",FORMULARIO!B4&lt;&gt;"",FORMULARIO!B5&lt;&gt;"",FORMULARIO!B6&lt;&gt;"",FORMULARIO!F9&lt;&gt;"",FORMULARIO!B8&lt;&gt;""),"","Nombre y Apellidos del titular de la liquidación")</f>
        <v/>
      </c>
      <c r="AF11" t="str">
        <f>IF(OR(FORMULARIO!B3&lt;&gt;"",FORMULARIO!B4&lt;&gt;"",FORMULARIO!B5&lt;&gt;"",FORMULARIO!B6&lt;&gt;"",FORMULARIO!F9&lt;&gt;"",FORMULARIO!B8&lt;&gt;""),"",FORMULARIO!C16)</f>
        <v/>
      </c>
      <c r="AJ11" s="970" t="str">
        <f>IF(OR(FORMULARIO!B3&lt;&gt;"",FORMULARIO!B4&lt;&gt;"",FORMULARIO!B5&lt;&gt;"",FORMULARIO!B6&lt;&gt;"",FORMULARIO!F9&lt;&gt;"",FORMULARIO!B8&lt;&gt;""),"","DNI:")</f>
        <v/>
      </c>
      <c r="AK11" s="1192" t="str">
        <f>IF(OR(FORMULARIO!B3&lt;&gt;"",FORMULARIO!B4&lt;&gt;"",FORMULARIO!B5&lt;&gt;"",FORMULARIO!B6&lt;&gt;"",FORMULARIO!F9&lt;&gt;"",FORMULARIO!B8&lt;&gt;""),"",FORMULARIO!F16)</f>
        <v/>
      </c>
      <c r="AM11" s="611"/>
      <c r="AN11" s="67" t="s">
        <v>22</v>
      </c>
    </row>
    <row r="12" spans="1:40" ht="13.8" thickBot="1" x14ac:dyDescent="0.3">
      <c r="A12" s="878" t="s">
        <v>309</v>
      </c>
      <c r="B12" s="879">
        <f>IFERROR(H3+H7,"")</f>
        <v>0</v>
      </c>
      <c r="C12" s="1464" t="s">
        <v>581</v>
      </c>
      <c r="D12" s="1464"/>
      <c r="E12" s="1464"/>
      <c r="F12" s="496">
        <f>IFERROR(H11,"")</f>
        <v>0</v>
      </c>
      <c r="G12" s="496" t="s">
        <v>301</v>
      </c>
      <c r="H12">
        <f>IFERROR(H4+H10,"")</f>
        <v>0</v>
      </c>
      <c r="J12" s="1016">
        <f>FORMULARIO!C57</f>
        <v>0</v>
      </c>
      <c r="K12" s="1353" t="s">
        <v>583</v>
      </c>
      <c r="L12" s="1353"/>
      <c r="M12" s="1018" t="str">
        <f>IF(AND(N12&gt;K11,J13="",J14="",J15="",J16="",AF2=J4),"¿Aporta factura de cena?","")</f>
        <v/>
      </c>
      <c r="N12" s="1020">
        <f>FORMULARIO!F57</f>
        <v>0</v>
      </c>
      <c r="AC12" s="610" t="str">
        <f>IF(OR(FORMULARIO!B3&lt;&gt;"",FORMULARIO!B4&lt;&gt;"",FORMULARIO!B5&lt;&gt;"",FORMULARIO!B6&lt;&gt;"",FORMULARIO!F9&lt;&gt;"",FORMULARIO!B8&lt;&gt;""),"","Vinculación con el proyecto:")</f>
        <v/>
      </c>
      <c r="AE12" t="str">
        <f>IF(OR(FORMULARIO!B3&lt;&gt;"",FORMULARIO!B4&lt;&gt;"",FORMULARIO!B5&lt;&gt;"",FORMULARIO!B6&lt;&gt;"",FORMULARIO!F9&lt;&gt;"",FORMULARIO!B8&lt;&gt;""),"",FORMULARIO!C27)</f>
        <v/>
      </c>
      <c r="AG12" t="str">
        <f>IF(OR(FORMULARIO!B3&lt;&gt;"",FORMULARIO!B4&lt;&gt;"",FORMULARIO!B5&lt;&gt;"",FORMULARIO!B6&lt;&gt;"",FORMULARIO!F9&lt;&gt;"",FORMULARIO!B8&lt;&gt;""),"",FORMULARIO!F18)</f>
        <v/>
      </c>
      <c r="AI12" t="str">
        <f>IF(OR(FORMULARIO!B3&lt;&gt;"",FORMULARIO!B4&lt;&gt;"",FORMULARIO!B5&lt;&gt;"",FORMULARIO!B6&lt;&gt;"",FORMULARIO!F9&lt;&gt;"",FORMULARIO!B8&lt;&gt;""),"",FORMULARIO!F19)</f>
        <v/>
      </c>
      <c r="AM12" s="611"/>
    </row>
    <row r="13" spans="1:40" x14ac:dyDescent="0.25">
      <c r="A13" s="843" t="s">
        <v>567</v>
      </c>
      <c r="B13" s="844">
        <f>FORMULARIO!F54</f>
        <v>0</v>
      </c>
      <c r="C13" s="845">
        <f>FORMULARIO!F57</f>
        <v>0</v>
      </c>
      <c r="D13" s="844"/>
      <c r="E13" s="846" t="str">
        <f>AF2</f>
        <v/>
      </c>
      <c r="F13" s="617"/>
      <c r="G13" s="617"/>
      <c r="H13" s="618"/>
      <c r="J13" s="1016" t="str">
        <f>IF(FORMULARIO!C116="","",FORMULARIO!C116)</f>
        <v/>
      </c>
      <c r="K13" s="1353" t="s">
        <v>584</v>
      </c>
      <c r="L13" s="1353"/>
      <c r="M13" s="1018" t="str">
        <f>IF(AND(N13&gt;K11,J13&lt;&gt;"",AF2=J4),"¿Aporta factura de cena?","")</f>
        <v/>
      </c>
      <c r="N13" s="1020">
        <f>FORMULARIO!F116</f>
        <v>0</v>
      </c>
      <c r="AC13" s="610" t="str">
        <f>IF(OR(FORMULARIO!B3&lt;&gt;"",FORMULARIO!B4&lt;&gt;"",FORMULARIO!B5&lt;&gt;"",FORMULARIO!B6&lt;&gt;"",FORMULARIO!F9&lt;&gt;"",FORMULARIO!B8&lt;&gt;""),"",FORMULARIO!C18)</f>
        <v/>
      </c>
      <c r="AE13" t="str">
        <f>IF(OR(FORMULARIO!B3&lt;&gt;"",FORMULARIO!B4&lt;&gt;"",FORMULARIO!B5&lt;&gt;"",FORMULARIO!B6&lt;&gt;"",FORMULARIO!F9&lt;&gt;"",FORMULARIO!B8&lt;&gt;""),"",FORMULARIO!C19)</f>
        <v/>
      </c>
      <c r="AG13" t="str">
        <f>IF(OR(FORMULARIO!B3&lt;&gt;"",FORMULARIO!B4&lt;&gt;"",FORMULARIO!B5&lt;&gt;"",FORMULARIO!B6&lt;&gt;"",FORMULARIO!F9&lt;&gt;"",FORMULARIO!B8&lt;&gt;""),"",FORMULARIO!H18)</f>
        <v/>
      </c>
      <c r="AI13" t="str">
        <f>IF(OR(FORMULARIO!B3&lt;&gt;"",FORMULARIO!B4&lt;&gt;"",FORMULARIO!B5&lt;&gt;"",FORMULARIO!B6&lt;&gt;"",FORMULARIO!F9&lt;&gt;"",FORMULARIO!B8&lt;&gt;""),"",FORMULARIO!H19)</f>
        <v/>
      </c>
      <c r="AM13" s="611"/>
    </row>
    <row r="14" spans="1:40" x14ac:dyDescent="0.25">
      <c r="A14" s="847" t="s">
        <v>569</v>
      </c>
      <c r="B14" s="831" t="str">
        <f>IF(OR(FORMULARIO!C54="",FORMULARIO!C57=""),"",(FORMULARIO!C57-FORMULARIO!C54)+1)</f>
        <v/>
      </c>
      <c r="E14" s="866" t="s">
        <v>79</v>
      </c>
      <c r="F14" s="927" t="str">
        <f>FORMULARIO!G57</f>
        <v/>
      </c>
      <c r="G14" s="927"/>
      <c r="H14" s="611"/>
      <c r="I14" s="1012" t="str">
        <f>IF(AND(FORMULARIO!G58="SÍ",M12&lt;&gt;""),"SÍ","NO")</f>
        <v>NO</v>
      </c>
      <c r="J14" s="1016" t="str">
        <f>IF(FORMULARIO!C72="","",FORMULARIO!C72)</f>
        <v/>
      </c>
      <c r="K14" s="1353" t="s">
        <v>585</v>
      </c>
      <c r="L14" s="1353"/>
      <c r="M14" s="1019" t="str">
        <f>IF(AND(N14&gt;K11,J13="",J15="",J16="",AF2=J4),"¿Aporta factura de cena?","")</f>
        <v/>
      </c>
      <c r="N14" s="1020">
        <f>FORMULARIO!F72</f>
        <v>0</v>
      </c>
      <c r="AC14" s="610" t="str">
        <f>IF(OR(FORMULARIO!B3&lt;&gt;"",FORMULARIO!B4&lt;&gt;"",FORMULARIO!B5&lt;&gt;"",FORMULARIO!B6&lt;&gt;"",FORMULARIO!F9&lt;&gt;"",FORMULARIO!B8&lt;&gt;""),"",FORMULARIO!F26)</f>
        <v/>
      </c>
      <c r="AE14" t="str">
        <f>IF(OR(FORMULARIO!B3&lt;&gt;"",FORMULARIO!B4&lt;&gt;"",FORMULARIO!B5&lt;&gt;"",FORMULARIO!B6&lt;&gt;"",FORMULARIO!F9&lt;&gt;"",FORMULARIO!B8&lt;&gt;""),"",FORMULARIO!F27)</f>
        <v/>
      </c>
      <c r="AG14" t="str">
        <f>IF(OR(FORMULARIO!B3&lt;&gt;"",FORMULARIO!B4&lt;&gt;"",FORMULARIO!B5&lt;&gt;"",FORMULARIO!B6&lt;&gt;"",FORMULARIO!F9&lt;&gt;"",FORMULARIO!B8&lt;&gt;""),"",FORMULARIO!C31)</f>
        <v/>
      </c>
      <c r="AH14" t="str">
        <f>IF(OR(FORMULARIO!B3&lt;&gt;"",FORMULARIO!B4&lt;&gt;"",FORMULARIO!B5&lt;&gt;"",FORMULARIO!B6&lt;&gt;"",FORMULARIO!F9&lt;&gt;"",FORMULARIO!B8&lt;&gt;""),"",FORMULARIO!C32)</f>
        <v/>
      </c>
      <c r="AJ14" t="str">
        <f>IF(OR(FORMULARIO!B3&lt;&gt;"",FORMULARIO!B4&lt;&gt;"",FORMULARIO!B5&lt;&gt;"",FORMULARIO!B6&lt;&gt;"",FORMULARIO!F9&lt;&gt;"",FORMULARIO!B8&lt;&gt;""),"",FORMULARIO!F31)</f>
        <v/>
      </c>
      <c r="AK14" t="str">
        <f>IF(OR(FORMULARIO!B3&lt;&gt;"",FORMULARIO!B4&lt;&gt;"",FORMULARIO!B5&lt;&gt;"",FORMULARIO!B6&lt;&gt;"",FORMULARIO!F9&lt;&gt;"",FORMULARIO!B8&lt;&gt;""),"",FORMULARIO!F32)</f>
        <v/>
      </c>
      <c r="AM14" s="611"/>
    </row>
    <row r="15" spans="1:40" ht="13.8" thickBot="1" x14ac:dyDescent="0.3">
      <c r="A15" s="1465" t="s">
        <v>571</v>
      </c>
      <c r="B15" s="828" t="s">
        <v>572</v>
      </c>
      <c r="C15" s="830">
        <v>0.58333333333333304</v>
      </c>
      <c r="D15" s="830"/>
      <c r="E15" s="835" t="s">
        <v>309</v>
      </c>
      <c r="F15" s="548" t="str">
        <f>IF(ANEXO!B207&lt;&gt;J4,"",IF(AND(ANEXO!B207=J4,B14&gt;1,B13&lt;C15),E15,""))</f>
        <v/>
      </c>
      <c r="G15" s="465"/>
      <c r="H15" s="848">
        <f>IF(B14="",0,IF(F15&lt;&gt;"","1",0))</f>
        <v>0</v>
      </c>
      <c r="J15" s="1016" t="str">
        <f>IF(FORMULARIO!C150="","",FORMULARIO!C150)</f>
        <v/>
      </c>
      <c r="K15" s="1353" t="s">
        <v>586</v>
      </c>
      <c r="L15" s="1353"/>
      <c r="M15" s="1018" t="str">
        <f>IF(AND(N15&gt;K11,J13="",J16="",AF2=J4),"¿Aporta factura de cena?","")</f>
        <v/>
      </c>
      <c r="N15" s="1020">
        <f>FORMULARIO!F150</f>
        <v>0</v>
      </c>
      <c r="AC15" s="619" t="str">
        <f>IF(OR(FORMULARIO!B3&lt;&gt;"",FORMULARIO!B4&lt;&gt;"",FORMULARIO!B5&lt;&gt;"",FORMULARIO!B6&lt;&gt;"",FORMULARIO!F9&lt;&gt;"",FORMULARIO!B8&lt;&gt;""),"",FORMULARIO!C29)</f>
        <v/>
      </c>
      <c r="AD15" s="620"/>
      <c r="AE15" s="620"/>
      <c r="AF15" s="973" t="str">
        <f>IF(OR(FORMULARIO!B3&lt;&gt;"",FORMULARIO!B4&lt;&gt;"",FORMULARIO!B5&lt;&gt;"",FORMULARIO!B6&lt;&gt;"",FORMULARIO!F9&lt;&gt;"",FORMULARIO!B8&lt;&gt;""),"",FORMULARIO!C30)</f>
        <v/>
      </c>
      <c r="AG15" s="974" t="str">
        <f>IF(OR(FORMULARIO!B3&lt;&gt;"",FORMULARIO!B4&lt;&gt;"",FORMULARIO!B5&lt;&gt;"",FORMULARIO!B6&lt;&gt;"",FORMULARIO!F9&lt;&gt;"",FORMULARIO!B8&lt;&gt;""),"",FORMULARIO!F29)</f>
        <v/>
      </c>
      <c r="AH15" s="620"/>
      <c r="AI15" s="975" t="str">
        <f>IF(OR(FORMULARIO!B3&lt;&gt;"",FORMULARIO!B4&lt;&gt;"",FORMULARIO!B5&lt;&gt;"",FORMULARIO!B6&lt;&gt;"",FORMULARIO!F9&lt;&gt;"",FORMULARIO!B8&lt;&gt;""),"",FORMULARIO!F30)</f>
        <v/>
      </c>
      <c r="AJ15" s="620"/>
      <c r="AK15" s="620"/>
      <c r="AL15" s="620"/>
      <c r="AM15" s="633"/>
    </row>
    <row r="16" spans="1:40" x14ac:dyDescent="0.25">
      <c r="A16" s="1466"/>
      <c r="B16" s="829" t="s">
        <v>573</v>
      </c>
      <c r="C16" s="830">
        <v>0.58333333333333304</v>
      </c>
      <c r="D16" s="830">
        <v>0.91666666666666696</v>
      </c>
      <c r="E16" s="833" t="s">
        <v>301</v>
      </c>
      <c r="F16" s="836" t="str">
        <f>IF(ANEXO!B207&lt;&gt;J4,"",IF(AND(ANEXO!B207=J4,B14&gt;1,B13&gt;=C16,B13&lt;D16),E16,""))</f>
        <v/>
      </c>
      <c r="G16" s="837"/>
      <c r="H16" s="848">
        <f>IF(B14="",0,IF(F16&lt;&gt;"","1",0))</f>
        <v>0</v>
      </c>
      <c r="J16" s="1016" t="str">
        <f>IF(FORMULARIO!C167="","",FORMULARIO!C167)</f>
        <v/>
      </c>
      <c r="K16" s="1353" t="s">
        <v>587</v>
      </c>
      <c r="L16" s="1353"/>
      <c r="M16" s="1018" t="str">
        <f>IF(AND(N16&gt;K11,J13="",J16&lt;&gt;"",AF2=J4),"¿Aporta factura de cena?","")</f>
        <v/>
      </c>
      <c r="N16" s="1020">
        <f>FORMULARIO!F167</f>
        <v>0</v>
      </c>
      <c r="AC16" s="981" t="str">
        <f>IF(OR(FORMULARIO!B3&lt;&gt;"",FORMULARIO!B4&lt;&gt;"",FORMULARIO!B5&lt;&gt;"",FORMULARIO!B6&lt;&gt;"",FORMULARIO!F9&lt;&gt;"",FORMULARIO!B8&lt;&gt;""),"","GASTOS DE LOCOMOCIÓN / INSCRIPCIÓN / OTROS")</f>
        <v/>
      </c>
      <c r="AD16" s="982"/>
      <c r="AE16" s="982"/>
      <c r="AF16" s="982"/>
      <c r="AG16" s="617"/>
      <c r="AH16" s="617"/>
      <c r="AI16" s="617"/>
      <c r="AJ16" s="617"/>
      <c r="AK16" s="617"/>
      <c r="AL16" s="617"/>
      <c r="AM16" s="1093"/>
    </row>
    <row r="17" spans="1:49" x14ac:dyDescent="0.25">
      <c r="A17" s="1467"/>
      <c r="B17" s="829" t="s">
        <v>574</v>
      </c>
      <c r="C17" s="830">
        <v>0.91666666666666696</v>
      </c>
      <c r="D17" s="830"/>
      <c r="E17" s="829" t="s">
        <v>575</v>
      </c>
      <c r="F17" s="839" t="str">
        <f>IF(ANEXO!B207&lt;&gt;J4,"",IF(AND(ANEXO!B207=J4,B14&gt;1,B13&gt;C17),E17,""))</f>
        <v/>
      </c>
      <c r="G17" s="840"/>
      <c r="H17" s="629"/>
      <c r="AC17" s="610" t="str">
        <f>IF(OR(FORMULARIO!B3&lt;&gt;"",FORMULARIO!B4&lt;&gt;"",FORMULARIO!B5&lt;&gt;"",FORMULARIO!B6&lt;&gt;"",FORMULARIO!F9&lt;&gt;"",FORMULARIO!B8&lt;&gt;""),"",FORMULARIO!C36)</f>
        <v/>
      </c>
      <c r="AD17" s="1094">
        <f>FORMULARIO!C37</f>
        <v>0</v>
      </c>
      <c r="AE17">
        <v>0.26</v>
      </c>
      <c r="AF17" t="str">
        <f>IF(OR(FORMULARIO!B3&lt;&gt;"",FORMULARIO!B4&lt;&gt;"",FORMULARIO!B5&lt;&gt;"",FORMULARIO!B6&lt;&gt;"",FORMULARIO!F9&lt;&gt;""),"","euros/Km")</f>
        <v/>
      </c>
      <c r="AG17" s="977">
        <f>AD17*AE17</f>
        <v>0</v>
      </c>
      <c r="AH17" t="str">
        <f>IF(OR(FORMULARIO!B3&lt;&gt;"",FORMULARIO!B4&lt;&gt;"",FORMULARIO!B5&lt;&gt;"",FORMULARIO!B6&lt;&gt;"",FORMULARIO!F9&lt;&gt;"",FORMULARIO!B8&lt;&gt;""),"",FORMULARIO!F36)</f>
        <v/>
      </c>
      <c r="AK17" s="1437">
        <f>FORMULARIO!F37</f>
        <v>0</v>
      </c>
      <c r="AL17" s="1437"/>
      <c r="AM17" s="1095"/>
      <c r="AN17" s="1092">
        <f>AG17+AD18+AD19+AF18+AF19+AH18+AH19</f>
        <v>0</v>
      </c>
      <c r="AO17" s="3" t="s">
        <v>588</v>
      </c>
    </row>
    <row r="18" spans="1:49" ht="13.8" thickBot="1" x14ac:dyDescent="0.3">
      <c r="A18" s="610"/>
      <c r="H18" s="611"/>
      <c r="AC18" s="610" t="str">
        <f>IF(OR(FORMULARIO!B3&lt;&gt;"",FORMULARIO!B4&lt;&gt;"",FORMULARIO!B5&lt;&gt;"",FORMULARIO!B6&lt;&gt;"",FORMULARIO!F9&lt;&gt;"",FORMULARIO!B8&lt;&gt;""),"",FORMULARIO!C39)</f>
        <v/>
      </c>
      <c r="AD18" s="978">
        <f>FORMULARIO!D39</f>
        <v>0</v>
      </c>
      <c r="AE18" t="str">
        <f>IF(OR(FORMULARIO!B3&lt;&gt;"",FORMULARIO!B4&lt;&gt;"",FORMULARIO!B5&lt;&gt;"",FORMULARIO!B6&lt;&gt;"",FORMULARIO!F9&lt;&gt;""),"",FORMULARIO!F39)</f>
        <v/>
      </c>
      <c r="AF18" s="978">
        <f>FORMULARIO!G39</f>
        <v>0</v>
      </c>
      <c r="AG18" t="str">
        <f>IF(OR(FORMULARIO!B3&lt;&gt;"",FORMULARIO!B4&lt;&gt;"",FORMULARIO!B5&lt;&gt;"",FORMULARIO!B6&lt;&gt;"",FORMULARIO!F9&lt;&gt;""),"",FORMULARIO!C41)</f>
        <v/>
      </c>
      <c r="AH18" s="978">
        <f>FORMULARIO!D41</f>
        <v>0</v>
      </c>
      <c r="AI18" s="979" t="str">
        <f>IF(OR(FORMULARIO!B3&lt;&gt;"",FORMULARIO!B4&lt;&gt;"",FORMULARIO!B5&lt;&gt;"",FORMULARIO!B6&lt;&gt;"",FORMULARIO!F9&lt;&gt;"",FORMULARIO!B8&lt;&gt;""),"",FORMULARIO!C40)</f>
        <v/>
      </c>
      <c r="AJ18" s="980">
        <f>FORMULARIO!D40</f>
        <v>0</v>
      </c>
      <c r="AK18" s="1474" t="str">
        <f>IF(OR(FORMULARIO!B3&lt;&gt;"",FORMULARIO!B4&lt;&gt;"",FORMULARIO!B5&lt;&gt;"",FORMULARIO!B6&lt;&gt;"",FORMULARIO!F9&lt;&gt;"",FORMULARIO!B8&lt;&gt;""),"",FORMULARIO!A40)</f>
        <v/>
      </c>
      <c r="AL18" s="1475"/>
      <c r="AM18" s="635"/>
      <c r="AN18" s="961">
        <f>AJ18+AJ19</f>
        <v>0</v>
      </c>
      <c r="AO18" s="496" t="s">
        <v>589</v>
      </c>
    </row>
    <row r="19" spans="1:49" ht="13.8" thickBot="1" x14ac:dyDescent="0.3">
      <c r="A19" s="849" t="s">
        <v>576</v>
      </c>
      <c r="B19" s="832"/>
      <c r="C19" s="471"/>
      <c r="D19" s="465"/>
      <c r="E19" s="835" t="s">
        <v>309</v>
      </c>
      <c r="F19" s="548" t="str">
        <f>IF(AND(ANEXO!B207=J4,B14&gt;1),E19,"")</f>
        <v/>
      </c>
      <c r="G19" s="465"/>
      <c r="H19" s="850">
        <f>IF(B14="",0,IF(F19="",0,B14-2))</f>
        <v>0</v>
      </c>
      <c r="J19" s="67" t="s">
        <v>590</v>
      </c>
      <c r="AC19" s="610" t="str">
        <f>IF(OR(FORMULARIO!B3&lt;&gt;"",FORMULARIO!B4&lt;&gt;"",FORMULARIO!B5&lt;&gt;"",FORMULARIO!B6&lt;&gt;"",FORMULARIO!F9&lt;&gt;"",FORMULARIO!B8&lt;&gt;""),"",FORMULARIO!C42)</f>
        <v/>
      </c>
      <c r="AD19" s="978">
        <f>FORMULARIO!D42</f>
        <v>0</v>
      </c>
      <c r="AE19" t="str">
        <f>IF(OR(FORMULARIO!B3&lt;&gt;"",FORMULARIO!B4&lt;&gt;"",FORMULARIO!B5&lt;&gt;"",FORMULARIO!B6&lt;&gt;"",FORMULARIO!F9&lt;&gt;""),"",FORMULARIO!F42)</f>
        <v/>
      </c>
      <c r="AF19" s="978">
        <f>FORMULARIO!G42</f>
        <v>0</v>
      </c>
      <c r="AG19" t="str">
        <f>IF(OR(FORMULARIO!B3&lt;&gt;"",FORMULARIO!B4&lt;&gt;"",FORMULARIO!B5&lt;&gt;"",FORMULARIO!B6&lt;&gt;"",FORMULARIO!F9&lt;&gt;""),"",FORMULARIO!F41)</f>
        <v/>
      </c>
      <c r="AH19" s="978">
        <f>FORMULARIO!G41</f>
        <v>0</v>
      </c>
      <c r="AI19" s="1140" t="str">
        <f>IF(OR(FORMULARIO!B3&lt;&gt;"",FORMULARIO!B4&lt;&gt;"",FORMULARIO!B5&lt;&gt;"",FORMULARIO!B6&lt;&gt;"",FORMULARIO!F9&lt;&gt;"",FORMULARIO!B8&lt;&gt;""),"",FORMULARIO!F40)</f>
        <v/>
      </c>
      <c r="AJ19" s="1141">
        <f>FORMULARIO!G40</f>
        <v>0</v>
      </c>
      <c r="AK19" s="1476"/>
      <c r="AL19" s="1477"/>
      <c r="AM19" s="635"/>
      <c r="AN19" s="1139">
        <f>AK21</f>
        <v>0</v>
      </c>
    </row>
    <row r="20" spans="1:49" x14ac:dyDescent="0.25">
      <c r="A20" s="610"/>
      <c r="H20" s="611"/>
      <c r="M20" s="1030">
        <v>1</v>
      </c>
      <c r="N20" s="1030">
        <v>0.625</v>
      </c>
      <c r="O20" t="str">
        <f>IF(N24&gt;M20,"DD","NO")</f>
        <v>NO</v>
      </c>
      <c r="P20" t="str">
        <f>IF(AND(AF2=J1,J22&lt;&gt;"",J23="",J24="",J22=K22,N22&lt;M22,N22&gt;N20,N22&lt;M20),"1/2 Manutención del extranjero","")</f>
        <v/>
      </c>
      <c r="AC20" s="1480" t="str">
        <f>IF(OR(FORMULARIO!B3&lt;&gt;"",FORMULARIO!B4&lt;&gt;"",FORMULARIO!B5&lt;&gt;"",FORMULARIO!B6&lt;&gt;"",FORMULARIO!F9&lt;&gt;"",FORMULARIO!B8&lt;&gt;""),"","TOTAL LOCOMOCIÓN  desglosado en pagos a terceros "&amp;TEXT((AN18),"#.###,00 €")&amp;" abonado por el profesor  "&amp;TEXT(AN17,"#.###,00 €"))</f>
        <v/>
      </c>
      <c r="AD20" s="1481"/>
      <c r="AE20" s="1481"/>
      <c r="AF20" s="1481"/>
      <c r="AG20" s="1481"/>
      <c r="AH20" s="1481"/>
      <c r="AI20" s="1481"/>
      <c r="AJ20" s="1481"/>
      <c r="AK20" s="1481"/>
      <c r="AL20" s="1481"/>
      <c r="AM20" s="1482"/>
    </row>
    <row r="21" spans="1:49" ht="13.8" thickBot="1" x14ac:dyDescent="0.3">
      <c r="A21" s="1468" t="s">
        <v>577</v>
      </c>
      <c r="B21" s="829" t="s">
        <v>591</v>
      </c>
      <c r="C21" s="830"/>
      <c r="D21" s="581"/>
      <c r="E21" s="828" t="s">
        <v>575</v>
      </c>
      <c r="F21" s="548" t="str">
        <f>IF(ANEXO!B207&lt;&gt;J4,"",IF(AND(ANEXO!B207=J4,B14&gt;1,C13&gt;=D23),E21,""))</f>
        <v/>
      </c>
      <c r="G21" s="834"/>
      <c r="H21" s="848"/>
      <c r="J21" s="885" t="s">
        <v>592</v>
      </c>
      <c r="K21" s="885" t="s">
        <v>593</v>
      </c>
      <c r="L21" s="885"/>
      <c r="M21" s="885" t="s">
        <v>594</v>
      </c>
      <c r="N21" s="885" t="s">
        <v>595</v>
      </c>
      <c r="O21" s="885" t="s">
        <v>596</v>
      </c>
      <c r="AC21" s="619" t="str">
        <f>IF(OR(FORMULARIO!B3&lt;&gt;"",FORMULARIO!B4&lt;&gt;"",FORMULARIO!B5&lt;&gt;"",FORMULARIO!B6&lt;&gt;"",FORMULARIO!F9&lt;&gt;"",FORMULARIO!B8&lt;&gt;""),"",FORMULARIO!C44)</f>
        <v/>
      </c>
      <c r="AD21" s="620"/>
      <c r="AE21" s="620"/>
      <c r="AF21" s="1142">
        <f>FORMULARIO!C46</f>
        <v>0</v>
      </c>
      <c r="AG21" s="1096" t="str">
        <f>IF(OR(FORMULARIO!B3&lt;&gt;"",FORMULARIO!B4&lt;&gt;"",FORMULARIO!B5&lt;&gt;"",FORMULARIO!B6&lt;&gt;"",FORMULARIO!F9&lt;&gt;"",FORMULARIO!B8&lt;&gt;""),"",FORMULARIO!G44)</f>
        <v/>
      </c>
      <c r="AH21" s="1097"/>
      <c r="AI21" s="1097"/>
      <c r="AJ21" s="1097"/>
      <c r="AK21" s="1143">
        <f>FORMULARIO!G46</f>
        <v>0</v>
      </c>
      <c r="AL21" s="620" t="str">
        <f>IF(OR(FORMULARIO!B3&lt;&gt;"",FORMULARIO!B4&lt;&gt;"",FORMULARIO!B5&lt;&gt;"",FORMULARIO!B6&lt;&gt;"",FORMULARIO!F9&lt;&gt;"",FORMULARIO!B8&lt;&gt;""),"",FORMULARIO!C47)</f>
        <v/>
      </c>
      <c r="AM21" s="1144">
        <f>FORMULARIO!C49</f>
        <v>0</v>
      </c>
      <c r="AN21" s="3" t="s">
        <v>597</v>
      </c>
      <c r="AO21" s="960">
        <f>AF21+AM21</f>
        <v>0</v>
      </c>
      <c r="AP21" s="1361" t="s">
        <v>598</v>
      </c>
      <c r="AQ21" s="1363"/>
    </row>
    <row r="22" spans="1:49" ht="13.8" thickBot="1" x14ac:dyDescent="0.3">
      <c r="A22" s="1469"/>
      <c r="B22" s="829" t="s">
        <v>599</v>
      </c>
      <c r="C22" s="841">
        <v>0.58333333333333304</v>
      </c>
      <c r="D22" s="842">
        <v>0.91666666666666696</v>
      </c>
      <c r="E22" s="165" t="s">
        <v>301</v>
      </c>
      <c r="F22" s="548" t="str">
        <f>IF(AND(ANEXO!B207=J4,B14&gt;1,C13&gt;C22,C13&lt;=D22),E22,"")</f>
        <v/>
      </c>
      <c r="G22" s="834"/>
      <c r="H22" s="848">
        <f>IF(B14="",0,IF(F22&lt;&gt;"","1",0))</f>
        <v>0</v>
      </c>
      <c r="J22" s="1016" t="str">
        <f>IF(FORMULARIO!C72="","",FORMULARIO!C72)</f>
        <v/>
      </c>
      <c r="K22" s="1495" t="str">
        <f>IF(FORMULARIO!I72="","",FORMULARIO!I72)</f>
        <v/>
      </c>
      <c r="L22" s="1496"/>
      <c r="M22" s="1029">
        <f>FORMULARIO!F72</f>
        <v>0</v>
      </c>
      <c r="N22" s="1029">
        <f>FORMULARIO!F74</f>
        <v>0</v>
      </c>
      <c r="O22" s="104" t="str">
        <f>IF(M22=M20,"",IF(O24&lt;&gt;"","",IF(O23&lt;&gt;"","",IF(AND(AF2=J1,J22=K22,N22&gt;N20,N22&lt;M22,N22&lt;M20),"1/2 Manutención del extranjero",""))))</f>
        <v/>
      </c>
      <c r="P22" s="165" t="s">
        <v>600</v>
      </c>
    </row>
    <row r="23" spans="1:49" ht="13.8" thickBot="1" x14ac:dyDescent="0.3">
      <c r="A23" s="1470"/>
      <c r="B23" s="851" t="s">
        <v>601</v>
      </c>
      <c r="C23" s="852">
        <v>0.91666666666666696</v>
      </c>
      <c r="D23" s="842">
        <v>1</v>
      </c>
      <c r="E23" s="851" t="s">
        <v>602</v>
      </c>
      <c r="F23" s="1492" t="str">
        <f>IF(AND(ANEXO!B207=J4,B14&gt;1,C13&gt;D22,I14="SÍ"),E23,E22)</f>
        <v>1/2 Manutención</v>
      </c>
      <c r="G23" s="1493"/>
      <c r="H23" s="855">
        <f>IF(B14="",0,IF(C13=D23,0,IF(AND(C13&gt;D22,I14="NO"),1,0)))</f>
        <v>0</v>
      </c>
      <c r="J23" s="1016" t="str">
        <f>IF(FORMULARIO!C150="","",FORMULARIO!C150)</f>
        <v/>
      </c>
      <c r="K23" s="1495">
        <f>FORMULARIO!I150</f>
        <v>0</v>
      </c>
      <c r="L23" s="1496"/>
      <c r="M23" s="1029">
        <f>FORMULARIO!F150</f>
        <v>0</v>
      </c>
      <c r="N23" s="1029">
        <f>FORMULARIO!F152</f>
        <v>0</v>
      </c>
      <c r="O23" s="104" t="str">
        <f>IF(M23=M20,"",IF(AND(O24="",J23=K23,M23&gt;N20,N23&gt;N20),"1/2 Manutención del pais extranjero",""))</f>
        <v/>
      </c>
      <c r="P23" s="165" t="s">
        <v>603</v>
      </c>
      <c r="AC23" s="1458" t="str">
        <f>IF(AD25="","",IF(OR(FORMULARIO!B3&lt;&gt;"",FORMULARIO!B4&lt;&gt;"",FORMULARIO!B5&lt;&gt;"",FORMULARIO!B6&lt;&gt;"",FORMULARIO!F9&lt;&gt;"",FORMULARIO!B8&lt;&gt;""),""," DIETAS EN TERRITORIO NACIONAL O TRÁNSITO PARA LA SALIDA"))</f>
        <v/>
      </c>
      <c r="AD23" s="1459"/>
      <c r="AE23" s="1459"/>
      <c r="AF23" s="1459"/>
      <c r="AG23" s="1459"/>
      <c r="AH23" s="1483" t="str">
        <f>IF(AD25="","",IF(OR(FORMULARIO!B3&lt;&gt;"",FORMULARIO!B4&lt;&gt;"",FORMULARIO!B5&lt;&gt;"",FORMULARIO!B6&lt;&gt;"",FORMULARIO!F9&lt;&gt;"",FORMULARIO!B8&lt;&gt;""),"",FORMULARIO!C59))</f>
        <v/>
      </c>
      <c r="AI23" s="1483"/>
      <c r="AJ23" s="1483"/>
      <c r="AK23" s="1478" t="str">
        <f>IF(AD25="","",IF(FORMULARIO!C60="","",FORMULARIO!C60))</f>
        <v/>
      </c>
      <c r="AL23" s="1478"/>
      <c r="AM23" s="618"/>
      <c r="AN23" s="578" t="str">
        <f>FORMULARIO!G53</f>
        <v/>
      </c>
    </row>
    <row r="24" spans="1:49" ht="13.8" thickBot="1" x14ac:dyDescent="0.3">
      <c r="A24" s="496" t="str">
        <f>E15</f>
        <v>Manutención pernoctando</v>
      </c>
      <c r="B24" s="880">
        <f>IFERROR(H15+H19+F24,"")</f>
        <v>0</v>
      </c>
      <c r="C24" s="496" t="s">
        <v>301</v>
      </c>
      <c r="D24" s="881">
        <f>IF(I14="NO",H16+H24,H16+H22+H23)</f>
        <v>0</v>
      </c>
      <c r="E24" s="496">
        <f>IF(F21&lt;&gt;"",0,IFERROR(H16+H22+H23,""))</f>
        <v>0</v>
      </c>
      <c r="F24" s="1494">
        <f>IF(C13=D23,0,IF(AND(C13&gt;D22,I14="SÍ"),1,0))</f>
        <v>0</v>
      </c>
      <c r="G24" s="1494"/>
      <c r="H24" s="1025">
        <f>IF(B14="",0,IF(C13=D23,0,IF(F23=E22,1,0)))</f>
        <v>0</v>
      </c>
      <c r="J24" s="1016" t="str">
        <f>IF(FORMULARIO!C167&lt;&gt;"",FORMULARIO!C167,"")</f>
        <v/>
      </c>
      <c r="K24" s="1495" t="str">
        <f>IF(FORMULARIO!I167="","",FORMULARIO!I167)</f>
        <v/>
      </c>
      <c r="L24" s="1496"/>
      <c r="M24" s="1029">
        <f>FORMULARIO!F167</f>
        <v>0</v>
      </c>
      <c r="N24" s="1029">
        <f>FORMULARIO!F169</f>
        <v>0</v>
      </c>
      <c r="O24" s="104" t="str">
        <f>IF(M24=M20,"",IF(AND(AF2=J1,J22&lt;&gt;"",J23&lt;&gt;"",J24=K24,M24&gt;N20,N24&gt;N20),"1/2 Manutención del extranjero",""))</f>
        <v/>
      </c>
      <c r="P24" s="165" t="s">
        <v>604</v>
      </c>
      <c r="Q24" t="str">
        <f>IF(M24=M20,"",IF(AND(AF2=J1,J22&lt;&gt;"",J23&lt;&gt;"",J24=K24,N24),"1/2 Manutención del país extranjero","MAL"))</f>
        <v>MAL</v>
      </c>
      <c r="AC24" s="1083" t="str">
        <f>IF(OR(FORMULARIO!B3&lt;&gt;"",FORMULARIO!B4&lt;&gt;"",FORMULARIO!B5&lt;&gt;"",FORMULARIO!B6&lt;&gt;"",FORMULARIO!F9&lt;&gt;"",FORMULARIO!B8&lt;&gt;""),"",FORMULARIO!G53)</f>
        <v/>
      </c>
      <c r="AD24" s="697"/>
      <c r="AE24" s="1084" t="str">
        <f>IF(AD25="","",IF(AC24="","",FORMULARIO!G54))</f>
        <v/>
      </c>
      <c r="AH24" t="str">
        <f>IF(AD25="","",IF(OR(FORMULARIO!B3&lt;&gt;"",FORMULARIO!B4&lt;&gt;"",FORMULARIO!B5&lt;&gt;"",FORMULARIO!B6&lt;&gt;"",FORMULARIO!F9&lt;&gt;"",FORMULARIO!B8&lt;&gt;""),"",FORMULARIO!F59))</f>
        <v/>
      </c>
      <c r="AK24" s="1479" t="str">
        <f>IF(AD25="","",IF(FORMULARIO!F60="","",FORMULARIO!F60))</f>
        <v/>
      </c>
      <c r="AL24" s="1479"/>
      <c r="AM24" s="611"/>
      <c r="AN24" t="str">
        <f>FORMULARIO!G54</f>
        <v>Elija la Opción    ▼</v>
      </c>
    </row>
    <row r="25" spans="1:49" x14ac:dyDescent="0.25">
      <c r="A25" s="843" t="s">
        <v>567</v>
      </c>
      <c r="B25" s="844">
        <f>FORMULARIO!F113</f>
        <v>0</v>
      </c>
      <c r="C25" s="845">
        <f>FORMULARIO!F116</f>
        <v>0</v>
      </c>
      <c r="D25" s="844"/>
      <c r="E25" s="846" t="str">
        <f>AF2</f>
        <v/>
      </c>
      <c r="F25" s="617"/>
      <c r="G25" s="617"/>
      <c r="H25" s="618"/>
      <c r="J25" s="67" t="s">
        <v>605</v>
      </c>
      <c r="K25" s="67" t="s">
        <v>606</v>
      </c>
      <c r="M25" s="67" t="s">
        <v>607</v>
      </c>
      <c r="N25" s="67" t="s">
        <v>608</v>
      </c>
      <c r="O25" s="67" t="s">
        <v>609</v>
      </c>
      <c r="P25" s="67"/>
      <c r="AC25" s="610" t="str">
        <f>IF(AD25="","",IF(OR(FORMULARIO!B3&lt;&gt;"",FORMULARIO!B4&lt;&gt;"",FORMULARIO!B5&lt;&gt;"",FORMULARIO!B6&lt;&gt;"",FORMULARIO!F9&lt;&gt;"",FORMULARIO!B8&lt;&gt;""),"",FORMULARIO!C53))</f>
        <v/>
      </c>
      <c r="AD25" s="678" t="str">
        <f>IF(FORMULARIO!C54="","",FORMULARIO!C54)</f>
        <v/>
      </c>
      <c r="AE25" s="676" t="str">
        <f>IF(AD25="","",IF(OR(FORMULARIO!B3&lt;&gt;"",FORMULARIO!B4&lt;&gt;"",FORMULARIO!B5&lt;&gt;"",FORMULARIO!B6&lt;&gt;"",FORMULARIO!F9&lt;&gt;"",FORMULARIO!B8&lt;&gt;""),"",IF(FORMULARIO!F54="","",FORMULARIO!F54)))</f>
        <v/>
      </c>
      <c r="AF25" s="67" t="str">
        <f>IF(AD25="","",IF(OR(FORMULARIO!B3&lt;&gt;"",FORMULARIO!B4&lt;&gt;"",FORMULARIO!B5&lt;&gt;"",FORMULARIO!B6&lt;&gt;"",FORMULARIO!F9&lt;&gt;"",FORMULARIO!B8&lt;&gt;""),"","Total días de viaje "))</f>
        <v/>
      </c>
      <c r="AH25" s="578" t="str">
        <f>IF(AD25="","",IF(OR(FORMULARIO!B3&lt;&gt;"",FORMULARIO!B4&lt;&gt;"",FORMULARIO!B5&lt;&gt;"",FORMULARIO!B6&lt;&gt;"",FORMULARIO!F9&lt;&gt;"",FORMULARIO!B8&lt;&gt;""),"",AN25))</f>
        <v/>
      </c>
      <c r="AJ25" s="978"/>
      <c r="AK25" s="578" t="str">
        <f>IF(AD25="","",IF(OR(FORMULARIO!B3&lt;&gt;"",FORMULARIO!B4&lt;&gt;"",FORMULARIO!B5&lt;&gt;"",FORMULARIO!B6&lt;&gt;"",FORMULARIO!F9&lt;&gt;"",FORMULARIO!B8&lt;&gt;""),"",AN26))</f>
        <v/>
      </c>
      <c r="AM25" s="611"/>
      <c r="AN25" t="str">
        <f>FORMULARIO!H56</f>
        <v>¿Renuncia a la manutención?</v>
      </c>
    </row>
    <row r="26" spans="1:49" x14ac:dyDescent="0.25">
      <c r="A26" s="865" t="s">
        <v>610</v>
      </c>
      <c r="B26" s="831" t="str">
        <f>IF(OR(FORMULARIO!C113="",FORMULARIO!C116=""),"",(FORMULARIO!C116-FORMULARIO!C113)+1)</f>
        <v/>
      </c>
      <c r="E26" s="866" t="s">
        <v>79</v>
      </c>
      <c r="F26" s="927" t="str">
        <f>FORMULARIO!H116</f>
        <v/>
      </c>
      <c r="H26" s="611"/>
      <c r="I26" s="1012" t="str">
        <f>IF(AND(FORMULARIO!I117="SÍ",M13&lt;&gt;""),"SÍ","NO")</f>
        <v>NO</v>
      </c>
      <c r="AC26" s="610" t="str">
        <f>IF(AD25="","",IF(OR(FORMULARIO!B3&lt;&gt;"",FORMULARIO!B4&lt;&gt;"",FORMULARIO!B5&lt;&gt;"",FORMULARIO!B6&lt;&gt;"",FORMULARIO!F9&lt;&gt;"",FORMULARIO!B8&lt;&gt;""),"",FORMULARIO!C56))</f>
        <v/>
      </c>
      <c r="AD26" s="678" t="str">
        <f>IF(FORMULARIO!C57="","",FORMULARIO!C57)</f>
        <v/>
      </c>
      <c r="AE26" s="676" t="str">
        <f>IF(AD25="","",IF(OR(FORMULARIO!B3&lt;&gt;"",FORMULARIO!B4&lt;&gt;"",FORMULARIO!B5&lt;&gt;"",FORMULARIO!B6&lt;&gt;"",FORMULARIO!F9&lt;&gt;"",FORMULARIO!B8&lt;&gt;""),"",IF(FORMULARIO!F57="","",FORMULARIO!F57)))</f>
        <v/>
      </c>
      <c r="AF26" s="983" t="str">
        <f>IF(AD25="","",IF(OR(AD25="",AD26=""),"",(AD26-AD25)+1))</f>
        <v/>
      </c>
      <c r="AM26" s="611"/>
      <c r="AN26" t="str">
        <f>FORMULARIO!H57</f>
        <v>Elija la Opción    ▼</v>
      </c>
    </row>
    <row r="27" spans="1:49" ht="13.8" thickBot="1" x14ac:dyDescent="0.3">
      <c r="A27" s="1465" t="s">
        <v>571</v>
      </c>
      <c r="B27" s="829" t="s">
        <v>572</v>
      </c>
      <c r="C27" s="830">
        <v>0.58333333333333304</v>
      </c>
      <c r="D27" s="830"/>
      <c r="E27" s="833" t="s">
        <v>309</v>
      </c>
      <c r="F27" s="838" t="str">
        <f>IF(ANEXO!B207&lt;&gt;J4,"",IF(AND(B26&gt;1,ANEXO!B207=J4,B25&lt;C27),E27,""))</f>
        <v/>
      </c>
      <c r="G27" s="465"/>
      <c r="H27" s="848">
        <f>IF(B26="",0,IF(F27&lt;&gt;"","1",0))</f>
        <v>0</v>
      </c>
      <c r="AC27" s="1007" t="str">
        <f>IF(AD25="","",IF(OR(FORMULARIO!B3&lt;&gt;"",FORMULARIO!B4&lt;&gt;"",FORMULARIO!B5&lt;&gt;"",FORMULARIO!B6&lt;&gt;"",FORMULARIO!F9&lt;&gt;"",FORMULARIO!B8&lt;&gt;""),"",FORMULARIO!G57))</f>
        <v/>
      </c>
      <c r="AE27" s="1008" t="str">
        <f>IF(AD25="","",IF(AC27="","",FORMULARIO!G58))</f>
        <v/>
      </c>
      <c r="AH27" s="152" t="str">
        <f>IF(AD25="","",IF(OR(FORMULARIO!B3&lt;&gt;"",FORMULARIO!B4&lt;&gt;"",FORMULARIO!B5&lt;&gt;"",FORMULARIO!B6&lt;&gt;"",FORMULARIO!F9&lt;&gt;""),"","noches"))</f>
        <v/>
      </c>
      <c r="AL27" s="152" t="str">
        <f>IF(AD25="","",IF(OR(FORMULARIO!B3&lt;&gt;"",FORMULARIO!B4&lt;&gt;"",FORMULARIO!B5&lt;&gt;"",FORMULARIO!B6&lt;&gt;"",FORMULARIO!F9&lt;&gt;"",FORMULARIO!B8&lt;&gt;""),"","noches"))</f>
        <v/>
      </c>
      <c r="AM27" s="611"/>
      <c r="AN27" s="67" t="s">
        <v>611</v>
      </c>
      <c r="AO27" s="67" t="s">
        <v>612</v>
      </c>
      <c r="AP27" s="67" t="s">
        <v>613</v>
      </c>
    </row>
    <row r="28" spans="1:49" ht="13.8" thickBot="1" x14ac:dyDescent="0.3">
      <c r="A28" s="1466"/>
      <c r="B28" s="829" t="s">
        <v>614</v>
      </c>
      <c r="C28" s="830">
        <v>0.58333333333333304</v>
      </c>
      <c r="D28" s="830">
        <v>0.91666666666666696</v>
      </c>
      <c r="E28" s="833" t="s">
        <v>301</v>
      </c>
      <c r="F28" s="836" t="str">
        <f>IF(ANEXO!B207&lt;&gt;J4,"",IF(AND(ANEXO!B207=J4,B25&gt;=C28,B25&lt;=D28),E28,""))</f>
        <v/>
      </c>
      <c r="G28" s="837"/>
      <c r="H28" s="848">
        <f>IF(B26="",0,IF(F28&lt;&gt;"","1",0))</f>
        <v>0</v>
      </c>
      <c r="AC28" s="984" t="str">
        <f>IF(AD25="","",IF(OR(FORMULARIO!B3&lt;&gt;"",FORMULARIO!B4&lt;&gt;"",FORMULARIO!B5&lt;&gt;"",FORMULARIO!B6&lt;&gt;"",FORMULARIO!F9&lt;&gt;"",FORMULARIO!B8&lt;&gt;""),"","Alojamiento:"))</f>
        <v/>
      </c>
      <c r="AD28" s="985" t="str">
        <f>IF(AD25="","",IF(OR(FORMULARIO!B3&lt;&gt;"",FORMULARIO!B4&lt;&gt;"",FORMULARIO!B5&lt;&gt;"",FORMULARIO!B6&lt;&gt;"",FORMULARIO!F9&lt;&gt;"",FORMULARIO!B8&lt;&gt;""),"","decreto/noche"))</f>
        <v/>
      </c>
      <c r="AE28" s="986" t="str">
        <f>IF(AD25="","",IF(AN32&lt;&gt;"",0,IF(AI6=ANEXO!C390,ANEXO!J401,IF(AF26="","",IF(AND(AN24="SÍ",AN23&lt;&gt;""),ANEXO!D398,ANEXO!C398)))))</f>
        <v/>
      </c>
      <c r="AG28" s="1111" t="str">
        <f>IF(AD25="","",IF(OR(FORMULARIO!B3&lt;&gt;"",FORMULARIO!B4&lt;&gt;"",FORMULARIO!B5&lt;&gt;"",FORMULARIO!B6&lt;&gt;"",FORMULARIO!F9&lt;&gt;"",FORMULARIO!B8&lt;&gt;""),"","total factura"))</f>
        <v/>
      </c>
      <c r="AH28" s="987" t="str">
        <f>IF(AD25="","",FORMULARIO!E64)</f>
        <v/>
      </c>
      <c r="AI28" s="921" t="str">
        <f>IF(AD25="","",IF(OR(FORMULARIO!B3&lt;&gt;"",FORMULARIO!B4&lt;&gt;"",FORMULARIO!B5&lt;&gt;"",FORMULARIO!B6&lt;&gt;"",FORMULARIO!F9&lt;&gt;"",FORMULARIO!B8&lt;&gt;""),"",AR28))</f>
        <v/>
      </c>
      <c r="AJ28" s="1445" t="str">
        <f>IF(AD25="","",IF(OR(FORMULARIO!B3&lt;&gt;"",FORMULARIO!B4&lt;&gt;"",FORMULARIO!B5&lt;&gt;"",FORMULARIO!B6&lt;&gt;"",FORMULARIO!F9&lt;&gt;"",FORMULARIO!B8&lt;&gt;""),"","Pagos a Terceros"))</f>
        <v/>
      </c>
      <c r="AK28" s="1445"/>
      <c r="AL28" s="988" t="str">
        <f>IF(AD25="","",FORMULARIO!I64)</f>
        <v/>
      </c>
      <c r="AM28" s="989" t="str">
        <f>IF(AD25="","",FORMULARIO!G64)</f>
        <v/>
      </c>
      <c r="AN28" s="543">
        <f>IFERROR(AE28*AH28,0)</f>
        <v>0</v>
      </c>
      <c r="AO28" s="543">
        <f>FORMULARIO!C64</f>
        <v>0</v>
      </c>
      <c r="AP28" s="543">
        <f>IF(AO28&gt;AN28,AO28-AN28,AO28)</f>
        <v>0</v>
      </c>
      <c r="AQ28" s="917" t="s">
        <v>514</v>
      </c>
      <c r="AR28" s="916">
        <f>IF(AO28&gt;AN28,AN28,AO28)</f>
        <v>0</v>
      </c>
    </row>
    <row r="29" spans="1:49" x14ac:dyDescent="0.25">
      <c r="A29" s="1467"/>
      <c r="B29" s="829" t="s">
        <v>574</v>
      </c>
      <c r="C29" s="830">
        <v>0.91666666666666696</v>
      </c>
      <c r="D29" s="830"/>
      <c r="E29" s="829" t="s">
        <v>575</v>
      </c>
      <c r="F29" s="839" t="str">
        <f>IF(ANEXO!B207&lt;&gt;J4,"",IF(AND(ANEXO!B207=J4,B25&gt;=C29),E29,""))</f>
        <v/>
      </c>
      <c r="G29" s="840"/>
      <c r="H29" s="629"/>
      <c r="AC29" s="1011" t="str">
        <f>IF(AD25="","",IF(OR(FORMULARIO!B3&lt;&gt;"",FORMULARIO!B4&lt;&gt;"",FORMULARIO!B5&lt;&gt;"",FORMULARIO!B6&lt;&gt;"",FORMULARIO!F9&lt;&gt;"",FORMULARIO!B8&lt;&gt;""),"",IF(AO28&gt;AN28,"Según decreto de dietas de alojamiento le corresponde"&amp;TEXT((AN28)," #.###,00 €"),"")))</f>
        <v/>
      </c>
      <c r="AD29" s="990"/>
      <c r="AE29" s="990"/>
      <c r="AG29" s="750" t="str">
        <f>IF(AD25="","",IF(OR(FORMULARIO!B3&lt;&gt;"",FORMULARIO!B4&lt;&gt;"",FORMULARIO!B5&lt;&gt;"",FORMULARIO!B6&lt;&gt;"",FORMULARIO!F9&lt;&gt;"",FORMULARIO!B8&lt;&gt;""),"",AO28))</f>
        <v/>
      </c>
      <c r="AM29" s="611"/>
      <c r="AN29" s="1138">
        <f>IF(AM28="",0,AM28)</f>
        <v>0</v>
      </c>
    </row>
    <row r="30" spans="1:49" ht="13.8" thickBot="1" x14ac:dyDescent="0.3">
      <c r="A30" s="610"/>
      <c r="H30" s="611"/>
      <c r="AC30" s="972" t="str">
        <f>IF(AD25="","",IF(OR(FORMULARIO!B3&lt;&gt;"",FORMULARIO!B4&lt;&gt;"",FORMULARIO!B5&lt;&gt;"",FORMULARIO!B6&lt;&gt;"",FORMULARIO!F9&lt;&gt;"",FORMULARIO!B8&lt;&gt;""),"","Manutención: pernoctando"))</f>
        <v/>
      </c>
      <c r="AD30" s="991" t="str">
        <f>IF(AD25="","",IF(AND(OR(ANEXO!B207=J1,ANEXO!B207=J2,ANEXO!B207=J3,ANEXO!B207=J6),B2&gt;1),B12,IF(AND(ANEXO!B207=J4,B50=1),0,IF(AND(ANEXO!B207=J4,B14&gt;1),B24,IF(AND(ANEXO!B207=J5),B111,0)))))</f>
        <v/>
      </c>
      <c r="AE30" s="992" t="str">
        <f>IF(AD25="","",IF(OR(FORMULARIO!B3&lt;&gt;"",FORMULARIO!B4&lt;&gt;"",FORMULARIO!B5&lt;&gt;"",FORMULARIO!B6&lt;&gt;"",FORMULARIO!F9&lt;&gt;"",FORMULARIO!B8&lt;&gt;""),"",AO30))</f>
        <v/>
      </c>
      <c r="AF30" s="1098" t="str">
        <f>IF(AD25="","","1/2 M")</f>
        <v/>
      </c>
      <c r="AG30" s="991" t="str">
        <f>IF(AD25="","",IF(AND(OR(ANEXO!B207=J1,ANEXO!B207=J2,ANEXO!B207=J3,ANEXO!B207=J6),B2&gt;1),H12,IF(AND(OR(ANEXO!B207=J1,ANEXO!B207=J2,ANEXO!B207=J3),B56=1),F61,IF(AND(ANEXO!B207=J4,B50=1),F54,IF(AND(ANEXO!B207=J4,F31&gt;1),D24,IF(AND(ANEXO!B207=J5),H111,0))))))</f>
        <v/>
      </c>
      <c r="AH30" s="992" t="str">
        <f>IF(AD25="","",IF(OR(FORMULARIO!B3&lt;&gt;"",FORMULARIO!B4&lt;&gt;"",FORMULARIO!B5&lt;&gt;"",FORMULARIO!B6&lt;&gt;"",FORMULARIO!F9&lt;&gt;"",FORMULARIO!B8&lt;&gt;""),"",AP30))</f>
        <v/>
      </c>
      <c r="AI30" s="67" t="str">
        <f>IF(AD25="","",IF(OR(FORMULARIO!B3&lt;&gt;"",FORMULARIO!B4&lt;&gt;"",FORMULARIO!B5&lt;&gt;"",FORMULARIO!B6&lt;&gt;"",FORMULARIO!F9&lt;&gt;"",FORMULARIO!B8&lt;&gt;""),"","Manutención si pernoctar"))</f>
        <v/>
      </c>
      <c r="AK30" s="993" t="str">
        <f>IF(AD25="","",IF(AND(OR(ANEXO!B207=J1,ANEXO!B207=J2,ANEXO!B207=J3,ANEXO!B207=J6),B2&gt;1),F12,IF(AND(OR(ANEXO!B207=J1,ANEXO!B207=J2,ANEXO!B207=J3),B56=1),B61,IF(AND(ANEXO!B207=J4,B50=1),0,IF(AND(ANEXO!B207=J5,AF26=1),F111,0)))))</f>
        <v/>
      </c>
      <c r="AL30" s="992" t="str">
        <f>IF(AD25="","",AQ30)</f>
        <v/>
      </c>
      <c r="AM30" s="611"/>
      <c r="AN30" s="3" t="s">
        <v>615</v>
      </c>
      <c r="AO30">
        <f>IFERROR(AD31*AD30,0)</f>
        <v>0</v>
      </c>
      <c r="AP30">
        <f>IFERROR(AG31*AG30,0)</f>
        <v>0</v>
      </c>
      <c r="AQ30">
        <f>IFERROR(AK30*AK31,0)</f>
        <v>0</v>
      </c>
      <c r="AR30" s="914">
        <f>IFERROR(IF(AN26="SÍ",0,IF(AN32&lt;&gt;"",AO31,AO30+AP30+AQ30)),0)</f>
        <v>0</v>
      </c>
      <c r="AS30" s="631" t="s">
        <v>616</v>
      </c>
    </row>
    <row r="31" spans="1:49" ht="13.8" thickBot="1" x14ac:dyDescent="0.3">
      <c r="A31" s="849" t="s">
        <v>576</v>
      </c>
      <c r="B31" s="832"/>
      <c r="C31" s="471"/>
      <c r="D31" s="465"/>
      <c r="E31" s="835" t="s">
        <v>309</v>
      </c>
      <c r="F31" s="1009" t="str">
        <f>IF(AND(ANEXO!B207=J4,B26&gt;1),E31,"")</f>
        <v/>
      </c>
      <c r="G31" s="465"/>
      <c r="H31" s="850">
        <f>IF(B26="",0,IF(F31="",0,B26-2))</f>
        <v>0</v>
      </c>
      <c r="AC31" s="610"/>
      <c r="AD31" s="994" t="str">
        <f>IF(AD25="","",IF(AN32&lt;&gt;"",0,IF(AI6=ANEXO!C390,ANEXO!E401,IF(AF26="","",IF(AN26="SÍ",0,IF(AND(AN23&lt;&gt;"",AN24="SÍ"),ANEXO!F398,ANEXO!E398))))))</f>
        <v/>
      </c>
      <c r="AG31" s="994" t="str">
        <f>IF(AD25="","",IF(AN32&lt;&gt;"",0,IF(AI6=ANEXO!C390,ANEXO!C401,IF(AF26="","",IF(AN26="SÍ",0,IF(AND(AN23&lt;&gt;"",AN24="SÍ"),ANEXO!G398,ANEXO!H398))))))</f>
        <v/>
      </c>
      <c r="AK31" s="543" t="str">
        <f>IF(AD25="","",IF(AN32&lt;&gt;"",0,IF(AF26="","",IF(AN26="""SÍ",0,ANEXO!I398))))</f>
        <v/>
      </c>
      <c r="AM31" s="635"/>
      <c r="AN31" s="959" t="s">
        <v>597</v>
      </c>
      <c r="AO31" s="962" t="str">
        <f>IFERROR(IF(OR(FORMULARIO!B3&lt;&gt;"",FORMULARIO!B4&lt;&gt;"",FORMULARIO!B5&lt;&gt;"",FORMULARIO!B6&lt;&gt;"",FORMULARIO!F9&lt;&gt;""),"",IF(AN32&lt;&gt;"",AT33,AR28+AR30)),0)</f>
        <v/>
      </c>
      <c r="AP31" s="966">
        <f>IFERROR(IF(AN32&lt;&gt;"",AQ31*50,AR28+AR30),0)</f>
        <v>0</v>
      </c>
      <c r="AQ31" s="1025">
        <f>IFERROR(AD30+AG30+AK30,0)</f>
        <v>0</v>
      </c>
    </row>
    <row r="32" spans="1:49" ht="13.8" thickBot="1" x14ac:dyDescent="0.3">
      <c r="A32" s="610"/>
      <c r="H32" s="611"/>
      <c r="AC32" s="995" t="str">
        <f>IF(AD25="","",IF(OR(FORMULARIO!B3&lt;&gt;"",FORMULARIO!B4&lt;&gt;"",FORMULARIO!B5&lt;&gt;"",FORMULARIO!B6&lt;&gt;"",FORMULARIO!F9&lt;&gt;"",FORMULARIO!B8&lt;&gt;""),"",IF(AN32&lt;&gt;"",ANEXO!D388,IF(AF26&lt;&gt;"","Según normativa Total dietas en T.Nacional desglosado sin pagos a terceros: en manutención "&amp;TEXT((AR30),"#.###,00 €")&amp;" alojamiento "&amp;TEXT(AR28,"#.###,00 €"),""))))</f>
        <v/>
      </c>
      <c r="AD32" s="620"/>
      <c r="AE32" s="620"/>
      <c r="AF32" s="620"/>
      <c r="AG32" s="620"/>
      <c r="AH32" s="620"/>
      <c r="AI32" s="620"/>
      <c r="AJ32" s="620"/>
      <c r="AK32" s="620"/>
      <c r="AL32" s="996" t="str">
        <f>IF(AD25="","",IF(OR(FORMULARIO!B3&lt;&gt;"",FORMULARIO!B4&lt;&gt;"",FORMULARIO!B5&lt;&gt;"",FORMULARIO!B6&lt;&gt;"",FORMULARIO!F9&lt;&gt;"",FORMULARIO!B8&lt;&gt;""),"",AN31))</f>
        <v/>
      </c>
      <c r="AM32" s="997" t="str">
        <f>IF(AD25="","",AO31)</f>
        <v/>
      </c>
      <c r="AN32" s="964" t="str">
        <f>IF(AND(FORMULARIO!I57&lt;&gt;"",FORMULARIO!I60="SÍ"),ANEXO!D388,"")</f>
        <v/>
      </c>
      <c r="AO32" s="964"/>
      <c r="AP32" s="964"/>
      <c r="AQ32" s="964"/>
      <c r="AR32" s="964"/>
      <c r="AS32" s="964"/>
      <c r="AT32" s="964"/>
      <c r="AU32" s="964"/>
      <c r="AV32" s="964"/>
      <c r="AW32" s="964"/>
    </row>
    <row r="33" spans="1:48" ht="13.8" thickBot="1" x14ac:dyDescent="0.3">
      <c r="A33" s="1468" t="s">
        <v>577</v>
      </c>
      <c r="B33" s="829"/>
      <c r="C33" s="830"/>
      <c r="D33" s="581"/>
      <c r="E33" s="828"/>
      <c r="F33" s="548" t="str">
        <f>IF(AND(OR(E25=J25,E25=J27),B26&lt;&gt;"",C25&lt;C33),E33,"")</f>
        <v/>
      </c>
      <c r="G33" s="834"/>
      <c r="H33" s="848"/>
      <c r="AN33" s="801">
        <v>50</v>
      </c>
      <c r="AO33" s="801">
        <v>1500</v>
      </c>
      <c r="AP33" s="1207">
        <f>IFERROR(DATEDIF(AK23,AK24,"M"),0)</f>
        <v>0</v>
      </c>
      <c r="AQ33" s="1195">
        <f>IFERROR(DAY(AK23),0)</f>
        <v>0</v>
      </c>
      <c r="AR33" s="1195">
        <f>IFERROR(DAY(AK24),0)</f>
        <v>0</v>
      </c>
      <c r="AS33" s="1205">
        <f>IF(AND(AP33=1,AQ33=AR33),0,IF(AR33&gt;AQ33,AR33-AQ33,AR33))</f>
        <v>0</v>
      </c>
      <c r="AT33" s="801">
        <f>IF(AK23=AK24,AO33*AP33,AN33*AS33+(AO33*AP33)+(AU33*AN33)+(AN33*AU33))</f>
        <v>0</v>
      </c>
      <c r="AU33" s="1204" t="e">
        <f>AK23-AD25</f>
        <v>#VALUE!</v>
      </c>
      <c r="AV33" s="67" t="s">
        <v>1218</v>
      </c>
    </row>
    <row r="34" spans="1:48" x14ac:dyDescent="0.25">
      <c r="A34" s="1469"/>
      <c r="B34" s="829" t="s">
        <v>617</v>
      </c>
      <c r="C34" s="841">
        <v>0.58333333333333304</v>
      </c>
      <c r="D34" s="842">
        <v>0.91666666666666696</v>
      </c>
      <c r="E34" s="165" t="s">
        <v>301</v>
      </c>
      <c r="F34" s="548" t="str">
        <f>IF(ANEXO!B207&lt;&gt;J4,"",IF(AND(ANEXO!B207=J4,C25&gt;=C34,C25&lt;=D34),E34,""))</f>
        <v/>
      </c>
      <c r="G34" s="834"/>
      <c r="H34" s="848">
        <f>IF(B26="",0,IF(F34&lt;&gt;"","1",0))</f>
        <v>0</v>
      </c>
      <c r="AC34" s="1458" t="str">
        <f>IF(AD36="","",IF(OR(FORMULARIO!B3&lt;&gt;"",FORMULARIO!B4&lt;&gt;"",FORMULARIO!B5&lt;&gt;"",FORMULARIO!B6&lt;&gt;"",FORMULARIO!F9&lt;&gt;"",FORMULARIO!B8&lt;&gt;""),"","VIAJE EN TRÁNSITO DE REGRESO DIETAS EN TERRITORIO NACIONAL"))</f>
        <v/>
      </c>
      <c r="AD34" s="1459"/>
      <c r="AE34" s="1459"/>
      <c r="AF34" s="1459"/>
      <c r="AG34" s="1459"/>
      <c r="AH34" s="617" t="str">
        <f>IF(AD36="","",IF(OR(FORMULARIO!B3&lt;&gt;"",FORMULARIO!B4&lt;&gt;"",FORMULARIO!B5&lt;&gt;"",FORMULARIO!B6&lt;&gt;"",FORMULARIO!F9&lt;&gt;"",FORMULARIO!B8&lt;&gt;""),"",FORMULARIO!C118))</f>
        <v/>
      </c>
      <c r="AI34" s="617"/>
      <c r="AJ34" s="617"/>
      <c r="AK34" s="1478" t="str">
        <f>IF(AD36="","",IF(OR(FORMULARIO!B3&lt;&gt;"",FORMULARIO!B4&lt;&gt;"",FORMULARIO!B5&lt;&gt;"",FORMULARIO!B6&lt;&gt;"",FORMULARIO!F9&lt;&gt;""),"",IF(FORMULARIO!C119="","",FORMULARIO!C119)))</f>
        <v/>
      </c>
      <c r="AL34" s="1478"/>
      <c r="AM34" s="618"/>
      <c r="AN34" t="str">
        <f>FORMULARIO!G112</f>
        <v/>
      </c>
      <c r="AU34" s="1204" t="e">
        <f>AD26-AK24</f>
        <v>#VALUE!</v>
      </c>
      <c r="AV34" s="67" t="s">
        <v>1219</v>
      </c>
    </row>
    <row r="35" spans="1:48" ht="13.8" thickBot="1" x14ac:dyDescent="0.3">
      <c r="A35" s="1470"/>
      <c r="B35" s="851" t="s">
        <v>574</v>
      </c>
      <c r="C35" s="852">
        <v>0.91666666666666696</v>
      </c>
      <c r="D35" s="842">
        <v>1</v>
      </c>
      <c r="E35" s="851" t="s">
        <v>602</v>
      </c>
      <c r="F35" s="853" t="str">
        <f>IF(ANEXO!B207&lt;&gt;J4,"",IF(AND(B26&gt;1,ANEXO!B207=J4,C25&gt;C29,I26="SÍ"),E35,E34))</f>
        <v/>
      </c>
      <c r="G35" s="854"/>
      <c r="H35" s="855">
        <f>IF(C25=D35,0,IF(B26="",0,IF(F35="1/2 Manutención","1",0)))</f>
        <v>0</v>
      </c>
      <c r="AC35" s="1083" t="str">
        <f>IF(AD36="","",FORMULARIO!G112)</f>
        <v/>
      </c>
      <c r="AD35" s="697"/>
      <c r="AE35" s="1084" t="str">
        <f>IF(AD36="","",IF(AC35="","",FORMULARIO!G113))</f>
        <v/>
      </c>
      <c r="AH35" t="str">
        <f>IF(AD36="","",IF(OR(FORMULARIO!B3&lt;&gt;"",FORMULARIO!B4&lt;&gt;"",FORMULARIO!B5&lt;&gt;"",FORMULARIO!B6&lt;&gt;"",FORMULARIO!F9&lt;&gt;"",FORMULARIO!B8&lt;&gt;""),"",FORMULARIO!F118))</f>
        <v/>
      </c>
      <c r="AK35" s="1479" t="str">
        <f>IF(AD36="","",IF(OR(FORMULARIO!B3&lt;&gt;"",FORMULARIO!B4&lt;&gt;"",FORMULARIO!B5&lt;&gt;"",FORMULARIO!B6&lt;&gt;"",FORMULARIO!F9&lt;&gt;""),"",IF(FORMULARIO!F119="","",FORMULARIO!F119)))</f>
        <v/>
      </c>
      <c r="AL35" s="1479"/>
      <c r="AM35" s="611"/>
      <c r="AN35" t="str">
        <f>FORMULARIO!G113</f>
        <v>Elija la Opción    ▼</v>
      </c>
    </row>
    <row r="36" spans="1:48" ht="13.8" thickBot="1" x14ac:dyDescent="0.3">
      <c r="A36" s="496" t="s">
        <v>309</v>
      </c>
      <c r="B36" s="880">
        <f>H27+H31+F36</f>
        <v>0</v>
      </c>
      <c r="C36" s="496" t="s">
        <v>301</v>
      </c>
      <c r="D36" s="496">
        <f>H28+H34+H35</f>
        <v>0</v>
      </c>
      <c r="E36" s="496">
        <f>H28+H34+H35</f>
        <v>0</v>
      </c>
      <c r="F36" s="890">
        <f>IF(C25=D35,0,IF(I26="SÍ",1,0))</f>
        <v>0</v>
      </c>
      <c r="G36" s="496"/>
      <c r="AC36" s="610" t="str">
        <f>IF(AD36="","",IF(OR(FORMULARIO!B3&lt;&gt;"",FORMULARIO!B4&lt;&gt;"",FORMULARIO!B5&lt;&gt;"",FORMULARIO!B6&lt;&gt;"",FORMULARIO!F9&lt;&gt;"",FORMULARIO!B8&lt;&gt;""),"",FORMULARIO!C112))</f>
        <v/>
      </c>
      <c r="AD36" s="678" t="str">
        <f>IF(FORMULARIO!C113="","",FORMULARIO!C113)</f>
        <v/>
      </c>
      <c r="AE36" s="676" t="str">
        <f>IF(AD36="","",IF(OR(FORMULARIO!B3&lt;&gt;"",FORMULARIO!B4&lt;&gt;"",FORMULARIO!B5&lt;&gt;"",FORMULARIO!B6&lt;&gt;"",FORMULARIO!F9&lt;&gt;""),"",IF(FORMULARIO!F113="","",FORMULARIO!F113)))</f>
        <v/>
      </c>
      <c r="AF36" s="67" t="str">
        <f>IF(AD36="","",IF(OR(FORMULARIO!B3&lt;&gt;"",FORMULARIO!B4&lt;&gt;"",FORMULARIO!B5&lt;&gt;"",FORMULARIO!B6&lt;&gt;"",FORMULARIO!F9&lt;&gt;"",FORMULARIO!B8&lt;&gt;""),"","Total días de viaje"))</f>
        <v/>
      </c>
      <c r="AH36" s="578" t="str">
        <f>IF(AD36="","",IF(OR(FORMULARIO!B3&lt;&gt;"",FORMULARIO!B4&lt;&gt;"",FORMULARIO!B5&lt;&gt;"",FORMULARIO!B6&lt;&gt;"",FORMULARIO!F9&lt;&gt;"",FORMULARIO!B8&lt;&gt;""),"",FORMULARIO!C120))</f>
        <v/>
      </c>
      <c r="AJ36" s="978"/>
      <c r="AK36" s="578" t="str">
        <f>IF(AD36="","",FORMULARIO!E120)</f>
        <v/>
      </c>
      <c r="AM36" s="611"/>
      <c r="AN36" s="1138">
        <f>IF(AM39="",0,AM39)</f>
        <v>0</v>
      </c>
    </row>
    <row r="37" spans="1:48" x14ac:dyDescent="0.25">
      <c r="A37" s="1176" t="s">
        <v>567</v>
      </c>
      <c r="B37" s="844">
        <f>FORMULARIO!F113</f>
        <v>0</v>
      </c>
      <c r="C37" s="845">
        <f>FORMULARIO!F116</f>
        <v>0</v>
      </c>
      <c r="D37" s="844"/>
      <c r="E37" s="846" t="str">
        <f>AF2</f>
        <v/>
      </c>
      <c r="F37" s="617"/>
      <c r="G37" s="617"/>
      <c r="H37" s="618"/>
      <c r="AC37" s="610" t="str">
        <f>IF(AD36="","",IF(OR(FORMULARIO!B3&lt;&gt;"",FORMULARIO!B4&lt;&gt;"",FORMULARIO!B5&lt;&gt;"",FORMULARIO!B6&lt;&gt;"",FORMULARIO!F9&lt;&gt;"",FORMULARIO!B8&lt;&gt;""),"",FORMULARIO!C115))</f>
        <v/>
      </c>
      <c r="AD37" s="678" t="str">
        <f>IF(FORMULARIO!C116="","",FORMULARIO!C116)</f>
        <v/>
      </c>
      <c r="AE37" s="676" t="str">
        <f>IF(AD36="","",IF(OR(FORMULARIO!B3&lt;&gt;"",FORMULARIO!B4&lt;&gt;"",FORMULARIO!B5&lt;&gt;"",FORMULARIO!B6&lt;&gt;"",FORMULARIO!F9&lt;&gt;""),"",IF(FORMULARIO!F116="","",FORMULARIO!F116)))</f>
        <v/>
      </c>
      <c r="AF37" s="983" t="str">
        <f>IF(OR(AD36="",AD37=""),"",(AD37-AD36)+1)</f>
        <v/>
      </c>
      <c r="AM37" s="611"/>
    </row>
    <row r="38" spans="1:48" ht="13.8" thickBot="1" x14ac:dyDescent="0.3">
      <c r="A38" s="856" t="s">
        <v>610</v>
      </c>
      <c r="B38" s="831" t="str">
        <f>IF(OR(FORMULARIO!C113="",FORMULARIO!C116=""),"",(FORMULARIO!C116-FORMULARIO!C113)+1)</f>
        <v/>
      </c>
      <c r="E38" s="1175" t="s">
        <v>570</v>
      </c>
      <c r="H38" s="611"/>
      <c r="AC38" s="1007" t="str">
        <f>IF(AD36="","",IF(OR(FORMULARIO!B3&lt;&gt;"",FORMULARIO!B4&lt;&gt;"",FORMULARIO!B5&lt;&gt;"",FORMULARIO!B6&lt;&gt;"",FORMULARIO!F9&lt;&gt;"",FORMULARIO!B8&lt;&gt;""),"",FORMULARIO!H116))</f>
        <v/>
      </c>
      <c r="AE38" s="1008" t="str">
        <f>IF(AD36="","",IF(OR(FORMULARIO!B3&lt;&gt;"",FORMULARIO!B4&lt;&gt;"",FORMULARIO!B5&lt;&gt;"",FORMULARIO!B6&lt;&gt;"",FORMULARIO!F9&lt;&gt;""),"",IF(AC38="","",FORMULARIO!I117)))</f>
        <v/>
      </c>
      <c r="AH38" s="152" t="str">
        <f>IF(AD36="","",IF(OR(FORMULARIO!B3&lt;&gt;"",FORMULARIO!B4&lt;&gt;"",FORMULARIO!B5&lt;&gt;"",FORMULARIO!B6&lt;&gt;"",FORMULARIO!F9&lt;&gt;"",FORMULARIO!B8&lt;&gt;""),"","noches"))</f>
        <v/>
      </c>
      <c r="AL38" s="152" t="str">
        <f>IF(AD36="","",IF(OR(FORMULARIO!B3&lt;&gt;"",FORMULARIO!B4&lt;&gt;"",FORMULARIO!B5&lt;&gt;"",FORMULARIO!B6&lt;&gt;"",FORMULARIO!F9&lt;&gt;"",FORMULARIO!B8&lt;&gt;""),"","noches"))</f>
        <v/>
      </c>
      <c r="AM38" s="611"/>
      <c r="AN38" s="67" t="s">
        <v>611</v>
      </c>
      <c r="AO38" s="67" t="s">
        <v>612</v>
      </c>
      <c r="AP38" s="67" t="s">
        <v>618</v>
      </c>
    </row>
    <row r="39" spans="1:48" ht="13.8" thickBot="1" x14ac:dyDescent="0.3">
      <c r="A39" s="1465" t="s">
        <v>571</v>
      </c>
      <c r="B39" s="828" t="s">
        <v>572</v>
      </c>
      <c r="C39" s="830">
        <f>IF(E37=J1,O1,O3)</f>
        <v>0.58333333333333304</v>
      </c>
      <c r="D39" s="830"/>
      <c r="E39" s="835" t="s">
        <v>309</v>
      </c>
      <c r="F39" s="838" t="str">
        <f>IF(AND(OR(ANEXO!B207=J1,ANEXO!B207=J3,ANEXO!B207=J6),B38&gt;1,B25&lt;C27),E27,IF(AND(ANEXO!B207=J5,B38&gt;1,B37&lt;L7),E39,""))</f>
        <v/>
      </c>
      <c r="G39" s="465"/>
      <c r="H39" s="848">
        <f>IF(B38="",0,IF(F39&lt;&gt;"","1",0))</f>
        <v>0</v>
      </c>
      <c r="I39" s="1100"/>
      <c r="AC39" s="984" t="str">
        <f>IF(AD36="","",IF(OR(FORMULARIO!B3&lt;&gt;"",FORMULARIO!B4&lt;&gt;"",FORMULARIO!B5&lt;&gt;"",FORMULARIO!B6&lt;&gt;"",FORMULARIO!F9&lt;&gt;"",FORMULARIO!B8&lt;&gt;""),"","Alojamiento:"))</f>
        <v/>
      </c>
      <c r="AD39" s="985" t="str">
        <f>IF(AD36="","",IF(OR(FORMULARIO!B3&lt;&gt;"",FORMULARIO!B4&lt;&gt;"",FORMULARIO!B5&lt;&gt;"",FORMULARIO!B6&lt;&gt;"",FORMULARIO!F9&lt;&gt;""),"","decreto/noche"))</f>
        <v/>
      </c>
      <c r="AE39" s="986" t="str">
        <f>IF(AD36="","",IF(AI6=ANEXO!C390,ANEXO!J401,IF(AF37="","",IF(AND(AN35="SÍ",AN34&lt;&gt;""),ANEXO!D398,ANEXO!C398))))</f>
        <v/>
      </c>
      <c r="AG39" s="632" t="str">
        <f>IF(AD36="","",IF(OR(FORMULARIO!B3&lt;&gt;"",FORMULARIO!B4&lt;&gt;"",FORMULARIO!B5&lt;&gt;"",FORMULARIO!B6&lt;&gt;"",FORMULARIO!F9&lt;&gt;"",FORMULARIO!B8&lt;&gt;""),"","total factura"))</f>
        <v/>
      </c>
      <c r="AH39" s="987" t="str">
        <f>IF(AD36="","",FORMULARIO!E123)</f>
        <v/>
      </c>
      <c r="AI39" s="543" t="str">
        <f>IF(AD36="","",AR39)</f>
        <v/>
      </c>
      <c r="AJ39" s="1445" t="str">
        <f>IF(AD36="","",IF(AD36="","",IF(OR(FORMULARIO!B3&lt;&gt;"",FORMULARIO!B4&lt;&gt;"",FORMULARIO!B5&lt;&gt;"",FORMULARIO!B6&lt;&gt;"",FORMULARIO!F9&lt;&gt;"",FORMULARIO!B8&lt;&gt;""),"","Pagos a Terceros")))</f>
        <v/>
      </c>
      <c r="AK39" s="1445"/>
      <c r="AL39" s="988" t="str">
        <f>IF(AD36="","",FORMULARIO!I123)</f>
        <v/>
      </c>
      <c r="AM39" s="989" t="str">
        <f>IF(AD36="","",IF(OR(FORMULARIO!B3&lt;&gt;"",FORMULARIO!B4&lt;&gt;"",FORMULARIO!B5&lt;&gt;"",FORMULARIO!B6&lt;&gt;"",FORMULARIO!F9&lt;&gt;"",FORMULARIO!B8&lt;&gt;""),"",FORMULARIO!G123))</f>
        <v/>
      </c>
      <c r="AN39" s="543">
        <f>IFERROR(AE39*AH39,0)</f>
        <v>0</v>
      </c>
      <c r="AO39" s="543">
        <f>FORMULARIO!C123</f>
        <v>0</v>
      </c>
      <c r="AP39" s="543">
        <f>IF(AO39&gt;AN39,AO39-AN39,AO39)</f>
        <v>0</v>
      </c>
      <c r="AQ39" s="917" t="s">
        <v>619</v>
      </c>
      <c r="AR39" s="902">
        <f>IFERROR(IF(AO39&gt;AN39,AN39,AO39),0)</f>
        <v>0</v>
      </c>
    </row>
    <row r="40" spans="1:48" x14ac:dyDescent="0.25">
      <c r="A40" s="1466"/>
      <c r="B40" s="829" t="s">
        <v>573</v>
      </c>
      <c r="C40" s="830">
        <f>IF(E37=J1,O1,O3)</f>
        <v>0.58333333333333304</v>
      </c>
      <c r="D40" s="830">
        <v>0.91666666666666696</v>
      </c>
      <c r="E40" s="833" t="s">
        <v>301</v>
      </c>
      <c r="F40" s="836" t="str">
        <f>IF(AND(OR(ANEXO!B207=J1,ANEXO!B207=J3,ANEXO!B207=J6),B37&gt;=C40,B37&lt;=D40),E40,IF(AND(ANEXO!B207=J5,B38&gt;1,B37&gt;L7,B37&gt;L8,B37&lt;D47),E40,""))</f>
        <v/>
      </c>
      <c r="G40" s="837"/>
      <c r="H40" s="848">
        <f>IF(B38="",0,IF(F40&lt;&gt;"","1",0))</f>
        <v>0</v>
      </c>
      <c r="AC40" s="1011" t="str">
        <f>IF(AD36="","",IF(OR(FORMULARIO!B3&lt;&gt;"",FORMULARIO!B4&lt;&gt;"",FORMULARIO!B5&lt;&gt;"",FORMULARIO!B6&lt;&gt;"",FORMULARIO!F9&lt;&gt;"",FORMULARIO!B8&lt;&gt;""),"",IF(AO39&gt;AN39,"Según decreto de dietas de alojamiento le corresponde "&amp;TEXT((AN39)," #.###,00 €"),"")))</f>
        <v/>
      </c>
      <c r="AD40" s="990"/>
      <c r="AE40" s="990"/>
      <c r="AG40" s="750" t="str">
        <f>IF(AD36="","",IF(OR(FORMULARIO!B3&lt;&gt;"",FORMULARIO!B4&lt;&gt;"",FORMULARIO!B5&lt;&gt;"",FORMULARIO!B6&lt;&gt;"",FORMULARIO!F9&lt;&gt;"",FORMULARIO!B8&lt;&gt;""),"",AO39))</f>
        <v/>
      </c>
      <c r="AM40" s="611"/>
    </row>
    <row r="41" spans="1:48" ht="13.8" thickBot="1" x14ac:dyDescent="0.3">
      <c r="A41" s="1467"/>
      <c r="B41" s="829" t="s">
        <v>574</v>
      </c>
      <c r="C41" s="830">
        <v>0.91666666666666696</v>
      </c>
      <c r="D41" s="830"/>
      <c r="E41" s="829" t="s">
        <v>575</v>
      </c>
      <c r="F41" s="839" t="str">
        <f>IF(AND(OR(ANEXO!B207=J1,ANEXO!B207=J3,ANEXO!B207=J6),B25&gt;C41),E41,IF(AND(ANEXO!B207=J5,B37&gt;L8),E41,""))</f>
        <v/>
      </c>
      <c r="G41" s="840"/>
      <c r="H41" s="629"/>
      <c r="AC41" s="972" t="str">
        <f>IF(AD36="","",IF(OR(FORMULARIO!B3&lt;&gt;"",FORMULARIO!B4&lt;&gt;"",FORMULARIO!B5&lt;&gt;"",FORMULARIO!B6&lt;&gt;"",FORMULARIO!F9&lt;&gt;"",FORMULARIO!B8&lt;&gt;""),"","Manutención pernoctando"))</f>
        <v/>
      </c>
      <c r="AD41" s="991" t="str">
        <f>IF(AD36="","",IF(OR(AF2=J1,AF2=J2,AF2=J3,AF2=J6),B48,IF(AND(AF2=J4,B14&gt;1),B36,IF(AF2=J5,B48,0))))</f>
        <v/>
      </c>
      <c r="AE41" s="992" t="str">
        <f>IF(AD36="","",IF(OR(FORMULARIO!B3&lt;&gt;"",FORMULARIO!B4&lt;&gt;"",FORMULARIO!B5&lt;&gt;"",FORMULARIO!B6&lt;&gt;"",FORMULARIO!F9&lt;&gt;"",FORMULARIO!B8&lt;&gt;""),"",IFERROR(AD42*AD41,0)))</f>
        <v/>
      </c>
      <c r="AF41" s="138" t="str">
        <f>IF(AD36="","","1/2 M")</f>
        <v/>
      </c>
      <c r="AG41" s="991" t="str">
        <f>IF(AD36="","",IF(OR(ANEXO!B207=J1,ANEXO!B207=J2,ANEXO!B207=J3,ANEXO!B207=J6),D48,IF(AND(ANEXO!B207=J4,B14&gt;1),D36,IF(ANEXO!B207=J5,D47,0))))</f>
        <v/>
      </c>
      <c r="AH41" s="992" t="str">
        <f>IF(AD36="","",IF(OR(FORMULARIO!B3&lt;&gt;"",FORMULARIO!B4&lt;&gt;"",FORMULARIO!B5&lt;&gt;"",FORMULARIO!B6&lt;&gt;"",FORMULARIO!F9&lt;&gt;"",FORMULARIO!B8&lt;&gt;""),"",IFERROR(AG41*AG42,0)))</f>
        <v/>
      </c>
      <c r="AI41" t="str">
        <f>IF(AD36="","",IF(OR(FORMULARIO!B3&lt;&gt;"",FORMULARIO!B4&lt;&gt;"",FORMULARIO!B5&lt;&gt;"",FORMULARIO!B6&lt;&gt;"",FORMULARIO!F9&lt;&gt;"",FORMULARIO!B8&lt;&gt;""),"","Manutención si pernoctar"))</f>
        <v/>
      </c>
      <c r="AK41" s="993" t="str">
        <f>IF(AD36="","",IF(OR(AF2=J1,AF2=J2,AF2=J3,AF2=J6),F48,IF(AF2=J4,0,IF(AF2=J5,F48,0))))</f>
        <v/>
      </c>
      <c r="AL41" s="992" t="str">
        <f>IF(AD36="","",IF(OR(FORMULARIO!B3&lt;&gt;"",FORMULARIO!B4&lt;&gt;"",FORMULARIO!B5&lt;&gt;"",FORMULARIO!B6&lt;&gt;"",FORMULARIO!F9&lt;&gt;""),"",AQ41))</f>
        <v/>
      </c>
      <c r="AM41" s="611"/>
      <c r="AN41" s="67" t="s">
        <v>615</v>
      </c>
      <c r="AO41">
        <f>IFERROR(AD41*AD42,0)</f>
        <v>0</v>
      </c>
      <c r="AP41">
        <f>IFERROR(AG41*AG42,0)</f>
        <v>0</v>
      </c>
      <c r="AQ41">
        <f>IFERROR(AK41*AK42,0)</f>
        <v>0</v>
      </c>
      <c r="AR41" s="914">
        <f>IFERROR(SUM(AO41+AP41+AQ41),0)</f>
        <v>0</v>
      </c>
      <c r="AS41" s="631" t="s">
        <v>615</v>
      </c>
    </row>
    <row r="42" spans="1:48" ht="13.8" thickBot="1" x14ac:dyDescent="0.3">
      <c r="A42" s="610"/>
      <c r="H42" s="611"/>
      <c r="AC42" s="610"/>
      <c r="AD42" s="994" t="str">
        <f>IF(AD36="","",IF(AI6=ANEXO!C390,ANEXO!E401,IF(AF37="","",IF(AK36="SÍ",0,IF(AND(AN34&lt;&gt;"",AN35="SÍ"),ANEXO!F398,ANEXO!E398)))))</f>
        <v/>
      </c>
      <c r="AG42" s="994" t="str">
        <f>IF(AD36="","",IF(AI6=ANEXO!C390,ANEXO!C401,IF(AF37="","",IF(AK36="SÍ",0,(IF(AND(AN34&lt;&gt;"",AN35="SÍ"),ANEXO!G398,ANEXO!H398))))))</f>
        <v/>
      </c>
      <c r="AK42" s="543" t="str">
        <f>IF(AD36="","",IF(AF37="","",IF(AK36="SÍ",0,ANEXO!I398)))</f>
        <v/>
      </c>
      <c r="AM42" s="635"/>
      <c r="AN42" s="959" t="s">
        <v>620</v>
      </c>
      <c r="AO42" s="969" t="str">
        <f>IF(OR(FORMULARIO!B3&lt;&gt;"",FORMULARIO!B4&lt;&gt;"",FORMULARIO!B5&lt;&gt;"",FORMULARIO!B6&lt;&gt;"",FORMULARIO!F9&lt;&gt;""),"",IFERROR(AR41+AR39,0))</f>
        <v/>
      </c>
      <c r="AP42" s="1018">
        <f>IFERROR(AR41+AR39,0)</f>
        <v>0</v>
      </c>
      <c r="AQ42" s="1036">
        <f>IFERROR(AD41+AG41+AK41,0)</f>
        <v>0</v>
      </c>
    </row>
    <row r="43" spans="1:48" ht="13.8" thickBot="1" x14ac:dyDescent="0.3">
      <c r="A43" s="849" t="s">
        <v>576</v>
      </c>
      <c r="B43" s="832"/>
      <c r="C43" s="471"/>
      <c r="D43" s="465"/>
      <c r="E43" s="835" t="s">
        <v>309</v>
      </c>
      <c r="F43" s="1101" t="str">
        <f>IF(AND(OR(ANEXO!B207=J1,ANEXO!B207=J3,ANEXO!B207=J6,ANEXO!B207=J5),B38&gt;1),E43,"")</f>
        <v/>
      </c>
      <c r="G43" s="465"/>
      <c r="H43" s="850">
        <f>IFERROR(IF(B38="",0,IF(F43="",0,B38-2)),0)</f>
        <v>0</v>
      </c>
      <c r="AC43" s="995" t="str">
        <f>IF(AD36="","",IF(OR(FORMULARIO!B3&lt;&gt;"",FORMULARIO!B4&lt;&gt;"",FORMULARIO!B5&lt;&gt;"",FORMULARIO!B6&lt;&gt;"",FORMULARIO!F9&lt;&gt;"",FORMULARIO!B8&lt;&gt;""),"",IF(AF37&lt;&gt;"","Según normativa Total dietas en T.Nacional desglosado sin pagos a terceros: en manutención "&amp;TEXT((AR41),"#.###,00 €")&amp;" alojamiento "&amp;TEXT(AR39,"#.###,00 €"),"")))</f>
        <v/>
      </c>
      <c r="AD43" s="620"/>
      <c r="AE43" s="620"/>
      <c r="AF43" s="620"/>
      <c r="AG43" s="620"/>
      <c r="AH43" s="620"/>
      <c r="AI43" s="620"/>
      <c r="AJ43" s="620"/>
      <c r="AK43" s="620"/>
      <c r="AL43" s="996" t="str">
        <f>IF(AD36="","",IF(OR(FORMULARIO!B3&lt;&gt;"",FORMULARIO!B4&lt;&gt;"",FORMULARIO!B5&lt;&gt;"",FORMULARIO!B6&lt;&gt;"",FORMULARIO!F9&lt;&gt;"",FORMULARIO!B8&lt;&gt;""),"",AN42))</f>
        <v/>
      </c>
      <c r="AM43" s="997" t="str">
        <f>IF(AD36="","",AO42)</f>
        <v/>
      </c>
      <c r="AO43" s="882"/>
    </row>
    <row r="44" spans="1:48" ht="13.8" thickBot="1" x14ac:dyDescent="0.3">
      <c r="A44" s="610"/>
      <c r="H44" s="611"/>
    </row>
    <row r="45" spans="1:48" x14ac:dyDescent="0.25">
      <c r="A45" s="1468" t="s">
        <v>577</v>
      </c>
      <c r="B45" s="829" t="s">
        <v>578</v>
      </c>
      <c r="C45" s="830">
        <f>IF(E37=J1,P1,P3)</f>
        <v>0.625</v>
      </c>
      <c r="D45" s="581"/>
      <c r="E45" s="828" t="s">
        <v>575</v>
      </c>
      <c r="F45" s="548" t="str">
        <f>IF(AND(OR(ANEXO!B207=J1,ANEXO!B207=J3,ANEXO!B207=J6,ANEXO!B207=J5),B38&lt;&gt;"",C37&lt;C45),E45,"")</f>
        <v/>
      </c>
      <c r="G45" s="834"/>
      <c r="H45" s="848"/>
      <c r="AC45" s="1458" t="str">
        <f>IF(AD47="","",IF(OR(FORMULARIO!B3&lt;&gt;"",FORMULARIO!B4&lt;&gt;"",FORMULARIO!B5&lt;&gt;"",FORMULARIO!B6&lt;&gt;"",FORMULARIO!F9&lt;&gt;"",FORMULARIO!B8&lt;&gt;""),"","DIETAS EN EL PRIMER PAÍS EXTRANJERO "))</f>
        <v/>
      </c>
      <c r="AD45" s="1459"/>
      <c r="AE45" s="1459"/>
      <c r="AF45" s="1449" t="str">
        <f>IF(AD47="","",IFERROR(FORMULARIO!H68,""))</f>
        <v/>
      </c>
      <c r="AG45" s="1449"/>
      <c r="AH45" s="617" t="str">
        <f>IF(AD47="","",IF(OR(FORMULARIO!B3&lt;&gt;"",FORMULARIO!B4&lt;&gt;"",FORMULARIO!B5&lt;&gt;"",FORMULARIO!B6&lt;&gt;"",FORMULARIO!F9&lt;&gt;"",FORMULARIO!B8&lt;&gt;""),"",FORMULARIO!D68))</f>
        <v/>
      </c>
      <c r="AI45" s="617"/>
      <c r="AJ45" s="617"/>
      <c r="AK45" s="998" t="str">
        <f>IF(AD47="","",IF(FORMULARIO!D69="","",FORMULARIO!D69))</f>
        <v/>
      </c>
      <c r="AL45" s="998"/>
      <c r="AM45" s="618"/>
      <c r="AN45" s="915" t="str">
        <f>F63</f>
        <v/>
      </c>
    </row>
    <row r="46" spans="1:48" x14ac:dyDescent="0.25">
      <c r="A46" s="1469"/>
      <c r="B46" s="829" t="s">
        <v>579</v>
      </c>
      <c r="C46" s="841">
        <f>IF(E37=J1,P1,P3)</f>
        <v>0.625</v>
      </c>
      <c r="D46" s="841">
        <v>0.91666666666666696</v>
      </c>
      <c r="E46" s="165" t="s">
        <v>301</v>
      </c>
      <c r="F46" s="548" t="str">
        <f>IF(AND(OR(ANEXO!B207=J1,ANEXO!B207=J3,ANEXO!B207=J6),B38&gt;1,C37&gt;C46,C37&lt;=D46),E46,IF(AND(ANEXO!B207=J5,B38&gt;1,C37&gt;L7,C37&lt;L8),E46,""))</f>
        <v/>
      </c>
      <c r="G46" s="834"/>
      <c r="H46" s="848">
        <f>IF(B38="",0,IF(F46&lt;&gt;"","1",0))</f>
        <v>0</v>
      </c>
      <c r="AC46" s="610"/>
      <c r="AH46" t="str">
        <f>IF(AD47="","",IF(OR(FORMULARIO!B3&lt;&gt;"",FORMULARIO!B4&lt;&gt;"",FORMULARIO!B5&lt;&gt;"",FORMULARIO!B6&lt;&gt;"",FORMULARIO!F9&lt;&gt;"",FORMULARIO!B8&lt;&gt;""),"",FORMULARIO!D71))</f>
        <v/>
      </c>
      <c r="AK46" s="678" t="str">
        <f>IF(AD47="","",IF(FORMULARIO!D72="","",FORMULARIO!D72))</f>
        <v/>
      </c>
      <c r="AL46" s="678"/>
      <c r="AM46" s="611"/>
      <c r="AN46" s="1138">
        <f>IF(AM50="",0,AM50)</f>
        <v>0</v>
      </c>
      <c r="AP46" s="677" t="str">
        <f>IF(FORMULARIO!H69&lt;&gt;"",ANEXO!D389,"")</f>
        <v/>
      </c>
    </row>
    <row r="47" spans="1:48" ht="13.8" thickBot="1" x14ac:dyDescent="0.3">
      <c r="A47" s="1470"/>
      <c r="B47" s="851" t="s">
        <v>574</v>
      </c>
      <c r="C47" s="852">
        <v>0.91666666666666696</v>
      </c>
      <c r="D47" s="841">
        <v>1</v>
      </c>
      <c r="E47" s="1110" t="s">
        <v>581</v>
      </c>
      <c r="F47" s="1109" t="str">
        <f>IF(AND(OR(ANEXO!B207=J1,ANEXO!B207=J3,ANEXO!B207=J6),B38&lt;&gt;"",C37&gt;C47,C37&lt;D47),E47,IF(AND(ANEXO!B207=J5,B38&gt;1,C37&gt;L8),E39,""))</f>
        <v/>
      </c>
      <c r="G47" s="854"/>
      <c r="H47" s="855">
        <f>IF(B38="",0,IF(F47&lt;&gt;"","1",0))</f>
        <v>0</v>
      </c>
      <c r="AC47" s="610" t="str">
        <f>IF(AD47="","",IF(OR(FORMULARIO!B3&lt;&gt;"",FORMULARIO!B4&lt;&gt;"",FORMULARIO!B5&lt;&gt;"",FORMULARIO!B6&lt;&gt;"",FORMULARIO!F9&lt;&gt;"",FORMULARIO!B8&lt;&gt;""),"",FORMULARIO!C68))</f>
        <v/>
      </c>
      <c r="AD47" s="678" t="str">
        <f>IF(FORMULARIO!C69="","",FORMULARIO!C69)</f>
        <v/>
      </c>
      <c r="AE47" s="676" t="str">
        <f>IF(AD47="","",IF(FORMULARIO!F69="","",FORMULARIO!F69))</f>
        <v/>
      </c>
      <c r="AF47" s="67" t="str">
        <f>IF(AD47="","",IF(OR(FORMULARIO!B3&lt;&gt;"",FORMULARIO!B4&lt;&gt;"",FORMULARIO!B5&lt;&gt;"",FORMULARIO!B6&lt;&gt;"",FORMULARIO!F9&lt;&gt;"",FORMULARIO!B8&lt;&gt;""),"","Total días de viaje "))</f>
        <v/>
      </c>
      <c r="AH47" s="578" t="str">
        <f>IF(AD47="","",IF(OR(FORMULARIO!B3&lt;&gt;"",FORMULARIO!B4&lt;&gt;"",FORMULARIO!B5&lt;&gt;"",FORMULARIO!B6&lt;&gt;"",FORMULARIO!F9&lt;&gt;"",FORMULARIO!B8&lt;&gt;""),"",FORMULARIO!F75))</f>
        <v/>
      </c>
      <c r="AJ47" s="978"/>
      <c r="AL47" s="578" t="str">
        <f>IF(AD47="","",FORMULARIO!I75)</f>
        <v/>
      </c>
      <c r="AM47" s="611"/>
    </row>
    <row r="48" spans="1:48" ht="13.8" thickBot="1" x14ac:dyDescent="0.3">
      <c r="A48" s="496" t="s">
        <v>309</v>
      </c>
      <c r="B48" s="880">
        <f>H39+H43</f>
        <v>0</v>
      </c>
      <c r="C48" s="496" t="s">
        <v>621</v>
      </c>
      <c r="D48" s="496">
        <f>H40+H46</f>
        <v>0</v>
      </c>
      <c r="E48" s="496" t="s">
        <v>581</v>
      </c>
      <c r="F48" s="496">
        <f>H47</f>
        <v>0</v>
      </c>
      <c r="AC48" s="610" t="str">
        <f>IF(AD47="","",IF(OR(FORMULARIO!B3&lt;&gt;"",FORMULARIO!B4&lt;&gt;"",FORMULARIO!B5&lt;&gt;"",FORMULARIO!B6&lt;&gt;"",FORMULARIO!F9&lt;&gt;"",FORMULARIO!B8&lt;&gt;""),"",FORMULARIO!C71))</f>
        <v/>
      </c>
      <c r="AD48" s="678" t="str">
        <f>IF(FORMULARIO!C72="","",FORMULARIO!C72)</f>
        <v/>
      </c>
      <c r="AE48" s="676" t="str">
        <f>IF(AD47="","",IF(FORMULARIO!F72="","",FORMULARIO!F72))</f>
        <v/>
      </c>
      <c r="AF48" s="983" t="str">
        <f>IF(AD47="","",IF(OR(AD47="",AD48=""),"",(AD48-AD47)+1))</f>
        <v/>
      </c>
      <c r="AH48" s="578" t="str">
        <f>IF(AD47="","",FORMULARIO!C75)</f>
        <v/>
      </c>
      <c r="AL48" s="498" t="str">
        <f>IF(AD47="","",IF(AH48="","",FORMULARIO!E75))</f>
        <v/>
      </c>
      <c r="AM48" s="611"/>
    </row>
    <row r="49" spans="1:49" x14ac:dyDescent="0.25">
      <c r="A49" s="864" t="s">
        <v>622</v>
      </c>
      <c r="B49" s="844">
        <f>FORMULARIO!F54</f>
        <v>0</v>
      </c>
      <c r="C49" s="845">
        <f>FORMULARIO!F57</f>
        <v>0</v>
      </c>
      <c r="D49" s="844"/>
      <c r="E49" s="846" t="str">
        <f>AF2</f>
        <v/>
      </c>
      <c r="F49" s="617"/>
      <c r="G49" s="617"/>
      <c r="H49" s="618"/>
      <c r="AB49" s="1034"/>
      <c r="AC49" s="1007" t="str">
        <f>IF(AD47="","",IF(AND(O22="",AF2=J1),"",IF(AND(AE48&lt;D72,AF2=J1),FORMULARIO!C74,"")))</f>
        <v/>
      </c>
      <c r="AE49" s="1039" t="str">
        <f>IF(AD47="","",IF(AC49="","",IF(AND(AD47&lt;&gt;"",AF2=J1,FORMULARIO!F74&lt;'LIQUIDACIÓN-GASTOS'!D72),FORMULARIO!F74,IF(AF2=J4,FORMULARIO!E75))))</f>
        <v/>
      </c>
      <c r="AH49" s="152" t="str">
        <f>IF(AD47="","",IF(OR(FORMULARIO!B3&lt;&gt;"",FORMULARIO!B4&lt;&gt;"",FORMULARIO!B5&lt;&gt;"",FORMULARIO!B6&lt;&gt;"",FORMULARIO!F9&lt;&gt;"",FORMULARIO!B8&lt;&gt;""),"","noches"))</f>
        <v/>
      </c>
      <c r="AL49" s="152" t="str">
        <f>IF(AD47="","",IF(OR(FORMULARIO!B3&lt;&gt;"",FORMULARIO!B4&lt;&gt;"",FORMULARIO!B5&lt;&gt;"",FORMULARIO!B6&lt;&gt;"",FORMULARIO!F9&lt;&gt;"",FORMULARIO!B8&lt;&gt;""),"","noches"))</f>
        <v/>
      </c>
      <c r="AM49" s="611"/>
    </row>
    <row r="50" spans="1:49" ht="13.8" thickBot="1" x14ac:dyDescent="0.3">
      <c r="A50" s="865" t="s">
        <v>569</v>
      </c>
      <c r="B50" s="831" t="str">
        <f>IF(OR(FORMULARIO!C54="",FORMULARIO!C57=""),"",(FORMULARIO!C57-FORMULARIO!C54)+1)</f>
        <v/>
      </c>
      <c r="E50" s="866" t="s">
        <v>79</v>
      </c>
      <c r="F50" s="676">
        <f>C49-B49</f>
        <v>0</v>
      </c>
      <c r="H50" s="857">
        <v>0.20833333333333301</v>
      </c>
      <c r="I50" s="1031" t="str">
        <f>IF(AND(AF2=J4,B50=1),0,"")</f>
        <v/>
      </c>
      <c r="AC50" s="984" t="str">
        <f>IF(AD47="","",IF(OR(FORMULARIO!B3&lt;&gt;"",FORMULARIO!B4&lt;&gt;"",FORMULARIO!B5&lt;&gt;"",FORMULARIO!B6&lt;&gt;"",FORMULARIO!F9&lt;&gt;"",FORMULARIO!B8&lt;&gt;""),"","Alojamiento:"))</f>
        <v/>
      </c>
      <c r="AD50" s="985" t="str">
        <f>IF(AD47="","",IF(OR(FORMULARIO!B3&lt;&gt;"",FORMULARIO!B4&lt;&gt;"",FORMULARIO!B5&lt;&gt;"",FORMULARIO!B6&lt;&gt;"",FORMULARIO!F9&lt;&gt;"",FORMULARIO!B8&lt;&gt;""),"","decreto/noche"))</f>
        <v/>
      </c>
      <c r="AE50" s="986" t="str">
        <f>IF(AD47="","",IFERROR(VLOOKUP(AF45,ANEXO!A210:G387,3,0),""))</f>
        <v/>
      </c>
      <c r="AF50" s="67"/>
      <c r="AG50" s="1111" t="str">
        <f>IF(AD47="","",IF(OR(FORMULARIO!B3&lt;&gt;"",FORMULARIO!B4&lt;&gt;"",FORMULARIO!B5&lt;&gt;"",FORMULARIO!B6&lt;&gt;"",FORMULARIO!F9&lt;&gt;"",FORMULARIO!B8&lt;&gt;""),"","total factura"))</f>
        <v/>
      </c>
      <c r="AH50" s="987" t="str">
        <f>IF(AD47="","",FORMULARIO!F78)</f>
        <v/>
      </c>
      <c r="AI50" s="543" t="str">
        <f>IF(AD47="","",AR51)</f>
        <v/>
      </c>
      <c r="AJ50" s="1445" t="str">
        <f>IF(AD47="","",IF(OR(FORMULARIO!B3&lt;&gt;"",FORMULARIO!B4&lt;&gt;"",FORMULARIO!B5&lt;&gt;"",FORMULARIO!B6&lt;&gt;"",FORMULARIO!F9&lt;&gt;"",FORMULARIO!B8&lt;&gt;""),"","Pagos a Terceros"))</f>
        <v/>
      </c>
      <c r="AK50" s="1445"/>
      <c r="AL50" s="988" t="str">
        <f>IF(AD47="","",IF(OR(FORMULARIO!B3&lt;&gt;"",FORMULARIO!B4&lt;&gt;"",FORMULARIO!B5&lt;&gt;"",FORMULARIO!B6&lt;&gt;"",FORMULARIO!F9&lt;&gt;"",FORMULARIO!B8&lt;&gt;""),"",FORMULARIO!I78))</f>
        <v/>
      </c>
      <c r="AM50" s="989" t="str">
        <f>IF(AD47="","",IF(OR(FORMULARIO!B3&lt;&gt;"",FORMULARIO!B4&lt;&gt;"",FORMULARIO!B5&lt;&gt;"",FORMULARIO!B6&lt;&gt;"",FORMULARIO!F9&lt;&gt;"",FORMULARIO!B8&lt;&gt;""),"",FORMULARIO!G78))</f>
        <v/>
      </c>
      <c r="AN50" s="67" t="s">
        <v>611</v>
      </c>
      <c r="AO50" s="67" t="s">
        <v>612</v>
      </c>
      <c r="AP50" s="67" t="s">
        <v>613</v>
      </c>
    </row>
    <row r="51" spans="1:49" ht="13.8" thickBot="1" x14ac:dyDescent="0.3">
      <c r="A51" s="1489" t="s">
        <v>623</v>
      </c>
      <c r="B51" s="829"/>
      <c r="C51" s="830"/>
      <c r="D51" s="830"/>
      <c r="E51" s="835"/>
      <c r="F51" s="838">
        <f>IF(E49&lt;&gt;J28,"",IF(AND(E49=J28,B49&lt;=C51),E51,""))</f>
        <v>0</v>
      </c>
      <c r="G51" s="465"/>
      <c r="H51" s="848">
        <f>IF(B50="",0,IF(F51&lt;&gt;"","1",0))</f>
        <v>0</v>
      </c>
      <c r="AC51" s="1011" t="str">
        <f>IF(AD47="","",IF(OR(FORMULARIO!B3&lt;&gt;"",FORMULARIO!B4&lt;&gt;"",FORMULARIO!B5&lt;&gt;"",FORMULARIO!B6&lt;&gt;"",FORMULARIO!F9&lt;&gt;"",FORMULARIO!B8&lt;&gt;""),"",IFERROR(IF(AO51&gt;AN51,"Según decreto de dietas le corresponde"&amp;TEXT((AN51)," #.###,00 €"),""),"")))</f>
        <v/>
      </c>
      <c r="AD51" s="990"/>
      <c r="AE51" s="990"/>
      <c r="AG51" s="750" t="str">
        <f>IF(AD47="","",IF(OR(FORMULARIO!B3&lt;&gt;"",FORMULARIO!B4&lt;&gt;"",FORMULARIO!B5&lt;&gt;"",FORMULARIO!B6&lt;&gt;"",FORMULARIO!F9&lt;&gt;"",FORMULARIO!B8&lt;&gt;""),"",AO51))</f>
        <v/>
      </c>
      <c r="AL51" s="3"/>
      <c r="AM51" s="611"/>
      <c r="AN51" s="543">
        <f>IFERROR(AE50*AH50,0)</f>
        <v>0</v>
      </c>
      <c r="AO51">
        <f>FORMULARIO!C78</f>
        <v>0</v>
      </c>
      <c r="AP51">
        <f>IF(AO51&gt;AN51,AO51-AN51,AO51)</f>
        <v>0</v>
      </c>
      <c r="AQ51" s="917" t="s">
        <v>566</v>
      </c>
      <c r="AR51" s="963">
        <f>IFERROR(IF(AO51&gt;AN51,AN51,AO51),0)</f>
        <v>0</v>
      </c>
    </row>
    <row r="52" spans="1:49" ht="13.8" thickBot="1" x14ac:dyDescent="0.3">
      <c r="A52" s="1490"/>
      <c r="B52" s="829" t="s">
        <v>624</v>
      </c>
      <c r="C52" s="830">
        <v>0.58333333333333304</v>
      </c>
      <c r="D52" s="830">
        <v>0.66666666666666696</v>
      </c>
      <c r="E52" s="833" t="s">
        <v>301</v>
      </c>
      <c r="F52" s="836" t="str">
        <f>IF(AND(ANEXO!B207=J4,B50=1,F50&gt;H50,B49&lt;C49&gt;D52),E52,"")</f>
        <v/>
      </c>
      <c r="G52" s="837"/>
      <c r="H52" s="848">
        <f>IF(B50="",0,IF(F52&lt;&gt;"","1",0))</f>
        <v>0</v>
      </c>
      <c r="AC52" s="972" t="str">
        <f>IF(AD47="","",IF(OR(FORMULARIO!B3&lt;&gt;"",FORMULARIO!B4&lt;&gt;"",FORMULARIO!B5&lt;&gt;"",FORMULARIO!B6&lt;&gt;"",FORMULARIO!F9&lt;&gt;"",FORMULARIO!B8&lt;&gt;""),"","Manutención pernoctando"))</f>
        <v/>
      </c>
      <c r="AD52" s="991" t="str">
        <f>IF(AD47="","",IF(OR(ANEXO!B207=J1,ANEXO!B207=J2,ANEXO!B207=J3,ANEXO!B207=J5),B73,IF(ANEXO!B207=J4,K73,0)))</f>
        <v/>
      </c>
      <c r="AE52" s="992" t="str">
        <f>IF(AD47="","",IF(OR(FORMULARIO!B3&lt;&gt;"",FORMULARIO!B4&lt;&gt;"",FORMULARIO!B5&lt;&gt;"",FORMULARIO!B6&lt;&gt;"",FORMULARIO!F9&lt;&gt;"",FORMULARIO!B8&lt;&gt;""),"",AO52))</f>
        <v/>
      </c>
      <c r="AF52" s="138" t="str">
        <f>IF(AD47="","","1/2 M")</f>
        <v/>
      </c>
      <c r="AG52" s="991" t="str">
        <f>IF(AD47="","",IF(OR(ANEXO!B207=J1,ANEXO!B207=J2,ANEXO!B207=J3,ANEXO!B207=J5),D73,IF(ANEXO!B207=J4,M73,0)))</f>
        <v/>
      </c>
      <c r="AH52" s="992" t="str">
        <f>IF(AD47="","",IF(OR(FORMULARIO!B3&lt;&gt;"",FORMULARIO!B4&lt;&gt;"",FORMULARIO!B5&lt;&gt;"",FORMULARIO!B6&lt;&gt;"",FORMULARIO!F9&lt;&gt;"",FORMULARIO!B8&lt;&gt;""),"",AP52))</f>
        <v/>
      </c>
      <c r="AI52" s="138" t="str">
        <f>IF(AD47="","",IF(OR(FORMULARIO!B3&lt;&gt;"",FORMULARIO!B4&lt;&gt;"",FORMULARIO!B5&lt;&gt;"",FORMULARIO!B6&lt;&gt;"",FORMULARIO!F9&lt;&gt;"",FORMULARIO!B8&lt;&gt;""),"","1/2 M.EXTR."))</f>
        <v/>
      </c>
      <c r="AJ52" s="991" t="str">
        <f>IF(AD47="","",IFERROR(IF(OR(ANEXO!B207=J1,ANEXO!B207=J2),I71,0),""))</f>
        <v/>
      </c>
      <c r="AK52" s="992" t="str">
        <f>IF(AD47="","",IF(OR(FORMULARIO!B3&lt;&gt;"",FORMULARIO!B4&lt;&gt;"",FORMULARIO!B5&lt;&gt;"",FORMULARIO!B6&lt;&gt;"",FORMULARIO!F9&lt;&gt;"",FORMULARIO!B8&lt;&gt;""),"",AQ52))</f>
        <v/>
      </c>
      <c r="AL52" s="153" t="str">
        <f>IF(AD47="","",IF(OR(FORMULARIO!B3&lt;&gt;"",FORMULARIO!B4&lt;&gt;"",FORMULARIO!B5&lt;&gt;"",FORMULARIO!B6&lt;&gt;"",FORMULARIO!F9&lt;&gt;"",FORMULARIO!B8&lt;&gt;""),"","sin.pernoctar"))</f>
        <v/>
      </c>
      <c r="AM52" s="993" t="str">
        <f>IF(AD47="","",IFERROR(IF(OR(ANEXO!B207=J1,ANEXO!B207=J2,ANEXO!B207=J3),H72,0),""))</f>
        <v/>
      </c>
      <c r="AN52" s="67" t="s">
        <v>615</v>
      </c>
      <c r="AO52" s="543">
        <f>IFERROR(AD52*AD53,0)</f>
        <v>0</v>
      </c>
      <c r="AP52">
        <f>IFERROR(AG52*AG53,0)</f>
        <v>0</v>
      </c>
      <c r="AQ52">
        <f>IFERROR(AJ52*AJ53,0)</f>
        <v>0</v>
      </c>
      <c r="AR52">
        <f>IFERROR(AM52*AM53,0)</f>
        <v>0</v>
      </c>
      <c r="AS52" s="914">
        <f>IFERROR(AO52+AP52+AQ52+AR52,0)</f>
        <v>0</v>
      </c>
      <c r="AT52" s="919" t="s">
        <v>615</v>
      </c>
    </row>
    <row r="53" spans="1:49" ht="13.8" thickBot="1" x14ac:dyDescent="0.3">
      <c r="A53" s="1491"/>
      <c r="B53" s="829"/>
      <c r="C53" s="830"/>
      <c r="D53" s="830"/>
      <c r="E53" s="829"/>
      <c r="F53" s="839"/>
      <c r="G53" s="840"/>
      <c r="H53" s="629"/>
      <c r="AC53" s="610"/>
      <c r="AD53" s="994" t="str">
        <f>IF(AD47="","",IFERROR(IF(AN55&lt;&gt;"",0,IF(AL47="SÍ",0,VLOOKUP(AF45,ANEXO!A210:G387,4,0))),0))</f>
        <v/>
      </c>
      <c r="AG53" s="994" t="str">
        <f>IF(AD47="","",IFERROR(IF(AN55&lt;&gt;"",0,IF(AL47="SÍ",0,VLOOKUP(AF45,ANEXO!A210:G387,6,0))),0))</f>
        <v/>
      </c>
      <c r="AJ53" s="543" t="str">
        <f>IF(AD47="","",IF(AI6=ANEXO!I207,0,IFERROR(IF(AN55&lt;&gt;"",0,IF(AL47="SÍ",0,VLOOKUP(AF45,ANEXO!A210:G387,7,0))),0)))</f>
        <v/>
      </c>
      <c r="AL53" s="921" t="str">
        <f>IF(AD47="","",IF(OR(FORMULARIO!B3&lt;&gt;"",FORMULARIO!B4&lt;&gt;"",FORMULARIO!B5&lt;&gt;"",FORMULARIO!B6&lt;&gt;"",FORMULARIO!F9&lt;&gt;""),"",AR52))</f>
        <v/>
      </c>
      <c r="AM53" s="635" t="str">
        <f>IF(AD47="","",IFERROR(IF(AN55&lt;&gt;"",0,IF(AL47="SÍ",0,IF(AR54&gt;0,0,(VLOOKUP(AF45,ANEXO!A210:G387,5,0))))),0))</f>
        <v/>
      </c>
      <c r="AN53" s="1186">
        <v>65</v>
      </c>
      <c r="AO53" s="1186">
        <v>1950</v>
      </c>
      <c r="AP53" s="1208">
        <f>IFERROR(DATEDIF(AK45,AK46,"M"),0)</f>
        <v>0</v>
      </c>
      <c r="AQ53" s="1188">
        <f>IFERROR(DAY(AK45),0)</f>
        <v>0</v>
      </c>
      <c r="AR53" s="572">
        <f>IFERROR(DAY(AK46),0)</f>
        <v>0</v>
      </c>
      <c r="AS53" s="165">
        <f>IF(AND(AP53=3,AQ53=AR53),0,IF(AR53&gt;AQ53,AR53-AQ53,AR53))</f>
        <v>0</v>
      </c>
      <c r="AT53" s="1190">
        <f>IF(AK45=AK46,AO53*AP53,AN53*AS53+(AO53*AP53)+(AN53*AU53)+AN53*AU54)</f>
        <v>0</v>
      </c>
      <c r="AU53" s="1204" t="e">
        <f>AK45-AD47</f>
        <v>#VALUE!</v>
      </c>
      <c r="AV53" s="67" t="s">
        <v>1216</v>
      </c>
    </row>
    <row r="54" spans="1:49" ht="13.8" thickBot="1" x14ac:dyDescent="0.3">
      <c r="A54" s="496"/>
      <c r="E54" s="905" t="s">
        <v>301</v>
      </c>
      <c r="F54" s="770">
        <f>H52</f>
        <v>0</v>
      </c>
      <c r="H54" s="611"/>
      <c r="AC54" s="1189" t="str">
        <f>IF(AD47="","",IFERROR(IF(AN55&lt;&gt;"",ANEXO!D389,IF(AND(ANEXO!B404=ANEXO!AX3,ANEXO!F404&gt;0),"Según convocatoria del proyecto las dietas en este país extranjero incluyendo alojamiento más manutención son de €/día "&amp;TEXT(ANEXO!D404,"#.###,00 €"),IF(AF48&lt;&gt;0,"Según normativa Total dietas en el extranjero desglosado sin pagos a terceros:en manutención "&amp;TEXT((AS52),"#.###,00 €")&amp;" alojamiento "&amp;TEXT(AR51,"#.###,00 €"),""))),0))</f>
        <v/>
      </c>
      <c r="AD54" s="620"/>
      <c r="AE54" s="620"/>
      <c r="AF54" s="620"/>
      <c r="AG54" s="620"/>
      <c r="AH54" s="620"/>
      <c r="AI54" s="620"/>
      <c r="AJ54" s="620"/>
      <c r="AK54" s="620"/>
      <c r="AL54" s="996" t="str">
        <f>IF(AD47="","",IF(OR(FORMULARIO!B3&lt;&gt;"",FORMULARIO!B4&lt;&gt;"",FORMULARIO!B5&lt;&gt;"",FORMULARIO!B6&lt;&gt;"",FORMULARIO!F9&lt;&gt;"",FORMULARIO!B8&lt;&gt;""),"","TOTAL"))</f>
        <v/>
      </c>
      <c r="AM54" s="997" t="str">
        <f>IF(AD47="","",AO54)</f>
        <v/>
      </c>
      <c r="AN54" s="958" t="s">
        <v>597</v>
      </c>
      <c r="AO54" s="962" t="str">
        <f>IF(OR(FORMULARIO!B3&lt;&gt;"",FORMULARIO!B4&lt;&gt;"",FORMULARIO!B5&lt;&gt;"",FORMULARIO!B6&lt;&gt;"",FORMULARIO!F9&lt;&gt;""),"",IFERROR(IF(AN55&lt;&gt;"",AT53,AR51+AS52+AR54),0))</f>
        <v/>
      </c>
      <c r="AP54" s="968">
        <f>IFERROR(AR51+AS52+AR54,0)</f>
        <v>0</v>
      </c>
      <c r="AQ54" s="1187">
        <f>IFERROR(AD52+AG52+AJ52+AM52,0)</f>
        <v>0</v>
      </c>
      <c r="AR54" s="1168">
        <f>ANEXO!F404</f>
        <v>0</v>
      </c>
      <c r="AU54" s="677" t="e">
        <f>AD48-AK46</f>
        <v>#VALUE!</v>
      </c>
      <c r="AV54" s="67" t="s">
        <v>1217</v>
      </c>
    </row>
    <row r="55" spans="1:49" ht="13.8" thickBot="1" x14ac:dyDescent="0.3">
      <c r="A55" s="1176" t="s">
        <v>622</v>
      </c>
      <c r="B55" s="844">
        <f>FORMULARIO!F54</f>
        <v>0</v>
      </c>
      <c r="C55" s="845">
        <f>FORMULARIO!F57</f>
        <v>0</v>
      </c>
      <c r="D55" s="844">
        <f>FORMULARIO!C5414/1</f>
        <v>0</v>
      </c>
      <c r="E55" s="846" t="str">
        <f>AF2</f>
        <v/>
      </c>
      <c r="G55" s="617"/>
      <c r="H55" s="618"/>
      <c r="AN55" s="964" t="str">
        <f>IF(AND(FORMULARIO!H69&lt;&gt;"",FORMULARIO!H71="SÍ"),ANEXO!D389,"")</f>
        <v/>
      </c>
      <c r="AO55" s="964"/>
      <c r="AP55" s="964"/>
      <c r="AQ55" s="964"/>
      <c r="AR55" s="964"/>
      <c r="AS55" s="964"/>
      <c r="AT55" s="964"/>
      <c r="AU55" s="964"/>
      <c r="AV55" s="964"/>
      <c r="AW55" s="964"/>
    </row>
    <row r="56" spans="1:49" x14ac:dyDescent="0.25">
      <c r="A56" s="856" t="s">
        <v>625</v>
      </c>
      <c r="B56" s="831" t="str">
        <f>IF(OR(FORMULARIO!C54="",FORMULARIO!C57=""),"",(FORMULARIO!C57-FORMULARIO!C54)+1)</f>
        <v/>
      </c>
      <c r="E56" s="1175" t="s">
        <v>570</v>
      </c>
      <c r="F56" s="676">
        <f>C55-B55</f>
        <v>0</v>
      </c>
      <c r="H56" s="857">
        <v>0.20833333333333301</v>
      </c>
      <c r="J56" t="str">
        <f>IF(AD25="","",IF(AND(ANEXO!B207=J4,B50=1),0,IF(AND(ANEXO!B207=J4,B14&gt;1),B24,IF(AND(ANEXO!B207=J5),B111,0))))</f>
        <v/>
      </c>
      <c r="AC56" s="1458" t="str">
        <f>IF(AD58="","",IF(OR(FORMULARIO!B3&lt;&gt;"",FORMULARIO!B4&lt;&gt;"",FORMULARIO!B5&lt;&gt;"",FORMULARIO!B6&lt;&gt;"",FORMULARIO!F9&lt;&gt;"",FORMULARIO!B8&lt;&gt;""),"","DIETAS EN EL  SEGUNDO PAÍS EXTRANJERO"))</f>
        <v/>
      </c>
      <c r="AD56" s="1459"/>
      <c r="AE56" s="1459"/>
      <c r="AF56" s="1449" t="str">
        <f>IF(AD58="","",FORMULARIO!H143)</f>
        <v/>
      </c>
      <c r="AG56" s="1449"/>
      <c r="AH56" s="617" t="str">
        <f>IF(AD58="","",IF(OR(FORMULARIO!B3&lt;&gt;"",FORMULARIO!B4&lt;&gt;"",FORMULARIO!B5&lt;&gt;"",FORMULARIO!B6&lt;&gt;"",FORMULARIO!F9&lt;&gt;"",FORMULARIO!B8&lt;&gt;""),"",FORMULARIO!C143))</f>
        <v/>
      </c>
      <c r="AI56" s="617"/>
      <c r="AJ56" s="617"/>
      <c r="AK56" s="998" t="str">
        <f>IF(AD58="","",IF(FORMULARIO!C144="","",FORMULARIO!C144))</f>
        <v/>
      </c>
      <c r="AL56" s="998"/>
      <c r="AM56" s="618"/>
      <c r="AN56" s="911" t="str">
        <f>O75</f>
        <v/>
      </c>
    </row>
    <row r="57" spans="1:49" x14ac:dyDescent="0.25">
      <c r="A57" s="1471" t="s">
        <v>623</v>
      </c>
      <c r="B57" s="829"/>
      <c r="C57" s="830">
        <v>0.625</v>
      </c>
      <c r="D57" s="830"/>
      <c r="E57" s="835"/>
      <c r="F57" s="838">
        <f>IF(E55&lt;&gt;J34,"",IF(AND(E55=J34,B55&lt;=C57),E57,""))</f>
        <v>0</v>
      </c>
      <c r="G57" s="465"/>
      <c r="H57" s="848" t="str">
        <f>IF(F57&lt;&gt;"","1","")</f>
        <v>1</v>
      </c>
      <c r="AC57" s="610"/>
      <c r="AH57" t="str">
        <f>IF(AD58="","",IF(OR(FORMULARIO!B3&lt;&gt;"",FORMULARIO!B4&lt;&gt;"",FORMULARIO!B5&lt;&gt;"",FORMULARIO!B6&lt;&gt;"",FORMULARIO!F9&lt;&gt;"",FORMULARIO!B8&lt;&gt;""),"",FORMULARIO!F143))</f>
        <v/>
      </c>
      <c r="AK57" s="678" t="str">
        <f>IF(AD58="","",IF(FORMULARIO!F144="","",FORMULARIO!F144))</f>
        <v/>
      </c>
      <c r="AL57" s="678"/>
      <c r="AM57" s="611"/>
      <c r="AN57" s="928" t="str">
        <f>IF(AF2=J4,"",P75)</f>
        <v/>
      </c>
    </row>
    <row r="58" spans="1:49" x14ac:dyDescent="0.25">
      <c r="A58" s="1472"/>
      <c r="B58" s="829" t="s">
        <v>626</v>
      </c>
      <c r="C58" s="830">
        <f>IF(E55=J1,O1,O3)</f>
        <v>0.58333333333333304</v>
      </c>
      <c r="D58" s="830">
        <v>0.91666666666666696</v>
      </c>
      <c r="E58" s="871" t="s">
        <v>581</v>
      </c>
      <c r="F58" s="836" t="str">
        <f>IF(AND(OR(ANEXO!B207=J1,ANEXO!B207=J3,ANEXO!B207=J6),B56=1,B55&lt;C58,C49&gt;D58),E58,"")</f>
        <v/>
      </c>
      <c r="G58" s="837"/>
      <c r="H58" s="848">
        <f>IF(B56="",0,IF(F58&lt;&gt;"","1",0))</f>
        <v>0</v>
      </c>
      <c r="AC58" s="610" t="str">
        <f>IF(AD58="","",IF(OR(FORMULARIO!B3&lt;&gt;"",FORMULARIO!B4&lt;&gt;"",FORMULARIO!B5&lt;&gt;"",FORMULARIO!B6&lt;&gt;"",FORMULARIO!F9&lt;&gt;"",FORMULARIO!B8&lt;&gt;""),"",FORMULARIO!C146))</f>
        <v/>
      </c>
      <c r="AD58" s="678" t="str">
        <f>IF(FORMULARIO!C147="","",FORMULARIO!C147)</f>
        <v/>
      </c>
      <c r="AE58" s="676" t="str">
        <f>IF(AD58="","",IF(FORMULARIO!F147="","",FORMULARIO!F147))</f>
        <v/>
      </c>
      <c r="AF58" s="67" t="str">
        <f>IF(AD58="","",IF(OR(FORMULARIO!B3&lt;&gt;"",FORMULARIO!B4&lt;&gt;"",FORMULARIO!B5&lt;&gt;"",FORMULARIO!B6&lt;&gt;"",FORMULARIO!F9&lt;&gt;"",FORMULARIO!B8&lt;&gt;""),"","Total días de viaje"))</f>
        <v/>
      </c>
      <c r="AH58" s="1028" t="str">
        <f>IF(AD58="","",IF(OR(FORMULARIO!B3&lt;&gt;"",FORMULARIO!B4&lt;&gt;"",FORMULARIO!B5&lt;&gt;"",FORMULARIO!B6&lt;&gt;"",FORMULARIO!F9&lt;&gt;"",FORMULARIO!B8&lt;&gt;""),"",FORMULARIO!C153))</f>
        <v/>
      </c>
      <c r="AJ58" s="978"/>
      <c r="AL58" s="578" t="str">
        <f>IF(AD58="","",FORMULARIO!F153)</f>
        <v/>
      </c>
      <c r="AM58" s="611"/>
      <c r="AN58" s="1138">
        <f>IF(AM61="",0,AM61)</f>
        <v>0</v>
      </c>
    </row>
    <row r="59" spans="1:49" x14ac:dyDescent="0.25">
      <c r="A59" s="1472"/>
      <c r="B59" s="867" t="s">
        <v>627</v>
      </c>
      <c r="C59" s="830">
        <f>IF(E55=J1,O1,O3)</f>
        <v>0.58333333333333304</v>
      </c>
      <c r="D59" s="830">
        <v>0.91666666666666696</v>
      </c>
      <c r="E59" s="870" t="s">
        <v>301</v>
      </c>
      <c r="F59" s="839" t="str">
        <f>IF(AND(OR(ANEXO!B207=J3,ANEXO!B207=J6,ANEXO!B207=J1),B56=1,B55&lt;C59,C55&gt;C57,C55&lt;=D59),E59,"")</f>
        <v/>
      </c>
      <c r="G59" s="840"/>
      <c r="H59" s="848">
        <f>IF(B56="",0,IF(F59&lt;&gt;"","1",0))</f>
        <v>0</v>
      </c>
      <c r="I59" t="str">
        <f>IF(AND(OR(E55=J3,E55=J1),B56=1,B55&lt;C58,C55&gt;C57,C55&gt;D58),E59,"")</f>
        <v/>
      </c>
      <c r="AC59" s="610" t="str">
        <f>IF(AD58="","",IF(OR(FORMULARIO!B3&lt;&gt;"",FORMULARIO!B4&lt;&gt;"",FORMULARIO!B5&lt;&gt;"",FORMULARIO!B6&lt;&gt;"",FORMULARIO!F9&lt;&gt;"",FORMULARIO!B8&lt;&gt;""),"",FORMULARIO!C149))</f>
        <v/>
      </c>
      <c r="AD59" s="678" t="str">
        <f>IF(FORMULARIO!C150="","",FORMULARIO!C150)</f>
        <v/>
      </c>
      <c r="AE59" s="676" t="str">
        <f>IF(AD58="","",IF(FORMULARIO!F150="","",FORMULARIO!F150))</f>
        <v/>
      </c>
      <c r="AF59" s="983" t="str">
        <f>IF(AD58="","",IF(OR(FORMULARIO!B3&lt;&gt;"",FORMULARIO!B4&lt;&gt;"",FORMULARIO!B5&lt;&gt;"",FORMULARIO!B6&lt;&gt;"",FORMULARIO!F9&lt;&gt;""),"",IF(OR(AD58="",AD59=""),"",(AD59-AD58)+1)))</f>
        <v/>
      </c>
      <c r="AH59" s="578" t="str">
        <f>IF(AD58="","",FORMULARIO!C151)</f>
        <v/>
      </c>
      <c r="AL59" s="578" t="str">
        <f>IF(AD58="","",IF(AH59="","",FORMULARIO!F151))</f>
        <v/>
      </c>
      <c r="AM59" s="611"/>
    </row>
    <row r="60" spans="1:49" ht="13.8" thickBot="1" x14ac:dyDescent="0.3">
      <c r="A60" s="1473"/>
      <c r="B60" s="869" t="s">
        <v>628</v>
      </c>
      <c r="C60" s="868">
        <v>0.58333333333333304</v>
      </c>
      <c r="D60" s="868">
        <v>0.91666666666666696</v>
      </c>
      <c r="E60" s="165" t="s">
        <v>301</v>
      </c>
      <c r="F60" s="832" t="str">
        <f>IF(AND(OR(ANEXO!B207=J3,ANEXO!B207=J6,ANEXO!B207=J1),B56=1,B55&gt;C60,C55&gt;D60),E61,"")</f>
        <v/>
      </c>
      <c r="G60" s="465"/>
      <c r="H60" s="848">
        <f>IF(B56="",0,IF(F60&lt;&gt;"","1",0))</f>
        <v>0</v>
      </c>
      <c r="AC60" s="1032" t="str">
        <f>IF(AD58="","",IF(AND(O23="",AF2=J1),"",IF(AND(AE59&lt;M96,AF2=J1),"Hora de salida del extranjero;","")))</f>
        <v/>
      </c>
      <c r="AE60" s="1112" t="str">
        <f>IF(AD58="","",IF(AC60="","",IF(AC60="","",IF(AN57="","",AN57))))</f>
        <v/>
      </c>
      <c r="AH60" s="152" t="str">
        <f>IF(AD58="","",IF(OR(FORMULARIO!B3&lt;&gt;"",FORMULARIO!B4&lt;&gt;"",FORMULARIO!B5&lt;&gt;"",FORMULARIO!B6&lt;&gt;"",FORMULARIO!F9&lt;&gt;"",FORMULARIO!B8&lt;&gt;""),"","noches"))</f>
        <v/>
      </c>
      <c r="AL60" s="152" t="str">
        <f>IF(AD58="","",IF(OR(FORMULARIO!B3&lt;&gt;"",FORMULARIO!B4&lt;&gt;"",FORMULARIO!B5&lt;&gt;"",FORMULARIO!B6&lt;&gt;"",FORMULARIO!F9&lt;&gt;"",FORMULARIO!B8&lt;&gt;""),"","noches"))</f>
        <v/>
      </c>
      <c r="AM60" s="611"/>
      <c r="AN60" s="67" t="s">
        <v>611</v>
      </c>
      <c r="AO60" s="67" t="s">
        <v>612</v>
      </c>
      <c r="AP60" s="67" t="s">
        <v>613</v>
      </c>
    </row>
    <row r="61" spans="1:49" ht="13.8" thickBot="1" x14ac:dyDescent="0.3">
      <c r="A61" s="905" t="s">
        <v>581</v>
      </c>
      <c r="B61" s="906">
        <f>H58</f>
        <v>0</v>
      </c>
      <c r="E61" s="770" t="s">
        <v>301</v>
      </c>
      <c r="F61" s="779">
        <f>H59+H60</f>
        <v>0</v>
      </c>
      <c r="AC61" s="984" t="str">
        <f>IF(AD58="","",IF(OR(FORMULARIO!B3&lt;&gt;"",FORMULARIO!B4&lt;&gt;"",FORMULARIO!B5&lt;&gt;"",FORMULARIO!B6&lt;&gt;"",FORMULARIO!F9&lt;&gt;"",FORMULARIO!B8&lt;&gt;""),"","Alojamiento:"))</f>
        <v/>
      </c>
      <c r="AD61" s="985" t="str">
        <f>IF(AD58="","",IF(OR(FORMULARIO!B3&lt;&gt;"",FORMULARIO!B4&lt;&gt;"",FORMULARIO!B5&lt;&gt;"",FORMULARIO!B6&lt;&gt;"",FORMULARIO!F9&lt;&gt;""),"","decreto/noche"))</f>
        <v/>
      </c>
      <c r="AE61" s="986" t="str">
        <f>IF(AD58="","",IFERROR(VLOOKUP(AF56,ANEXO!A210:G387,3,0),""))</f>
        <v/>
      </c>
      <c r="AG61" s="1111" t="str">
        <f>IF(AD58="","",IF(OR(FORMULARIO!B3&lt;&gt;"",FORMULARIO!B4&lt;&gt;"",FORMULARIO!B5&lt;&gt;"",FORMULARIO!B6&lt;&gt;"",FORMULARIO!F9&lt;&gt;"",FORMULARIO!B8&lt;&gt;""),"","total factura"))</f>
        <v/>
      </c>
      <c r="AH61" s="987" t="str">
        <f>IF(AD58="","",FORMULARIO!F156)</f>
        <v/>
      </c>
      <c r="AI61" s="543" t="str">
        <f>IF(AD58="","",AR61)</f>
        <v/>
      </c>
      <c r="AJ61" s="1445" t="str">
        <f>IF(AD58="","",IF(OR(FORMULARIO!B3&lt;&gt;"",FORMULARIO!B4&lt;&gt;"",FORMULARIO!B5&lt;&gt;"",FORMULARIO!B6&lt;&gt;"",FORMULARIO!F9&lt;&gt;"",FORMULARIO!B8&lt;&gt;""),""," Pagos a Terceros"))</f>
        <v/>
      </c>
      <c r="AK61" s="1445"/>
      <c r="AL61" s="988" t="str">
        <f>IF(AD58="","",IF(OR(FORMULARIO!B3&lt;&gt;"",FORMULARIO!B4&lt;&gt;"",FORMULARIO!B5&lt;&gt;"",FORMULARIO!B6&lt;&gt;"",FORMULARIO!F9&lt;&gt;"",FORMULARIO!B8&lt;&gt;""),"",FORMULARIO!I156))</f>
        <v/>
      </c>
      <c r="AM61" s="989" t="str">
        <f>IF(AD58="","",IF(OR(FORMULARIO!B3&lt;&gt;"",FORMULARIO!B4&lt;&gt;"",FORMULARIO!B5&lt;&gt;"",FORMULARIO!B6&lt;&gt;"",FORMULARIO!F9&lt;&gt;"",FORMULARIO!B8&lt;&gt;""),"",FORMULARIO!G156))</f>
        <v/>
      </c>
      <c r="AN61" s="543">
        <f>IFERROR(AE61*AH61,0)</f>
        <v>0</v>
      </c>
      <c r="AO61" s="543">
        <f>FORMULARIO!C156</f>
        <v>0</v>
      </c>
      <c r="AP61" s="543">
        <f>IF(AO61&gt;AN61,AO61-AN61,AO61)</f>
        <v>0</v>
      </c>
      <c r="AQ61" s="917" t="s">
        <v>514</v>
      </c>
      <c r="AR61" s="918">
        <f>IFERROR(IF(AO61&gt;AN61,AN61,AO61),0)</f>
        <v>0</v>
      </c>
    </row>
    <row r="62" spans="1:49" ht="13.8" thickBot="1" x14ac:dyDescent="0.3">
      <c r="A62" s="1176" t="s">
        <v>567</v>
      </c>
      <c r="B62" s="844">
        <f>FORMULARIO!F69</f>
        <v>0</v>
      </c>
      <c r="C62" s="845">
        <f>FORMULARIO!F72</f>
        <v>0</v>
      </c>
      <c r="D62" s="844"/>
      <c r="E62" s="846" t="str">
        <f>AF2</f>
        <v/>
      </c>
      <c r="G62" s="617"/>
      <c r="H62" s="618"/>
      <c r="I62" s="1116" t="str">
        <f>ANEXO!B207</f>
        <v>BORRADOR</v>
      </c>
      <c r="J62" s="843" t="s">
        <v>567</v>
      </c>
      <c r="K62" s="844">
        <f>FORMULARIO!F69</f>
        <v>0</v>
      </c>
      <c r="L62" s="845">
        <f>FORMULARIO!F72</f>
        <v>0</v>
      </c>
      <c r="M62" s="844"/>
      <c r="N62" s="846" t="str">
        <f>AF2</f>
        <v/>
      </c>
      <c r="O62" s="617"/>
      <c r="P62" s="618"/>
      <c r="AC62" s="1011" t="str">
        <f>IF(AD58="","",IF(OR(FORMULARIO!B3&lt;&gt;"",FORMULARIO!B4&lt;&gt;"",FORMULARIO!B5&lt;&gt;"",FORMULARIO!B6&lt;&gt;"",FORMULARIO!F9&lt;&gt;"",FORMULARIO!B8&lt;&gt;""),"",IFERROR(IF(AO61&gt;AN61,"Según decreto de dietas le corresponde"&amp;TEXT((AN61)," #.###,00 €"),""),"")))</f>
        <v/>
      </c>
      <c r="AD62" s="990"/>
      <c r="AE62" s="990"/>
      <c r="AG62" s="750" t="str">
        <f>IF(AD58="","",IF(OR(FORMULARIO!B3&lt;&gt;"",FORMULARIO!B4&lt;&gt;"",FORMULARIO!B5&lt;&gt;"",FORMULARIO!B6&lt;&gt;"",FORMULARIO!F9&lt;&gt;"",FORMULARIO!B8&lt;&gt;""),"",AO61))</f>
        <v/>
      </c>
      <c r="AM62" s="999"/>
    </row>
    <row r="63" spans="1:49" ht="13.8" thickBot="1" x14ac:dyDescent="0.3">
      <c r="A63" s="856" t="s">
        <v>629</v>
      </c>
      <c r="B63" s="831" t="str">
        <f>IF(OR(FORMULARIO!C69="",FORMULARIO!C72=""),"",(FORMULARIO!C72-FORMULARIO!C69)+1)</f>
        <v/>
      </c>
      <c r="E63" s="1175" t="s">
        <v>570</v>
      </c>
      <c r="F63" s="927" t="str">
        <f>O22</f>
        <v/>
      </c>
      <c r="G63" s="927"/>
      <c r="H63" s="907">
        <f>FORMULARIO!F74</f>
        <v>0</v>
      </c>
      <c r="I63" s="932" t="str">
        <f>FORMULARIO!G73</f>
        <v/>
      </c>
      <c r="J63" s="847" t="s">
        <v>629</v>
      </c>
      <c r="K63" s="831" t="str">
        <f>IF(OR(FORMULARIO!C69="",FORMULARIO!C72=""),"",(FORMULARIO!C72-FORMULARIO!C69)+1)</f>
        <v/>
      </c>
      <c r="N63" s="866" t="s">
        <v>79</v>
      </c>
      <c r="O63" s="927" t="str">
        <f>FORMULARIO!C75</f>
        <v/>
      </c>
      <c r="P63" s="877" t="str">
        <f>IF(AND(FORMULARIO!E75="SÍ",M14&lt;&gt;""),"SÍ","NO")</f>
        <v>NO</v>
      </c>
      <c r="AC63" s="972" t="str">
        <f>IF(AD58="","",IF(OR(FORMULARIO!B3&lt;&gt;"",FORMULARIO!B4&lt;&gt;"",FORMULARIO!B5&lt;&gt;"",FORMULARIO!B6&lt;&gt;"",FORMULARIO!F9&lt;&gt;"",FORMULARIO!B8&lt;&gt;""),"","Manutención: pernoctando"))</f>
        <v/>
      </c>
      <c r="AD63" s="991" t="str">
        <f>IF(AD58="","",IF(OR(ANEXO!B207=J1,ANEXO!B207=J2,ANEXO!B207=J3,ANEXO!B207=J5),K85,IF(ANEXO!B207=J4,B85,0)))</f>
        <v/>
      </c>
      <c r="AE63" s="992" t="str">
        <f>IF(AD58="","",IF(OR(FORMULARIO!B3&lt;&gt;"",FORMULARIO!B4&lt;&gt;"",FORMULARIO!B5&lt;&gt;"",FORMULARIO!B6&lt;&gt;"",FORMULARIO!F9&lt;&gt;"",FORMULARIO!B8&lt;&gt;""),"",AO63))</f>
        <v/>
      </c>
      <c r="AF63" s="138" t="str">
        <f>IF(AD58="","","1/2 M")</f>
        <v/>
      </c>
      <c r="AG63" s="991" t="str">
        <f>IF(AD58="","",IF(OR(ANEXO!B207=J1,ANEXO!B207=J2,ANEXO!B207=J3,ANEXO!B207=J5),M85,IF(ANEXO!B207=J4,D85,0)))</f>
        <v/>
      </c>
      <c r="AH63" s="992" t="str">
        <f>IF(AD58="","",IF(OR(FORMULARIO!B3&lt;&gt;"",FORMULARIO!B4&lt;&gt;"",FORMULARIO!B5&lt;&gt;"",FORMULARIO!B6&lt;&gt;"",FORMULARIO!F9&lt;&gt;"",FORMULARIO!B8&lt;&gt;""),"",AP63))</f>
        <v/>
      </c>
      <c r="AI63" s="67" t="str">
        <f>IF(AD58="","",IF(OR(FORMULARIO!B3&lt;&gt;"",FORMULARIO!B4&lt;&gt;"",FORMULARIO!B5&lt;&gt;"",FORMULARIO!B6&lt;&gt;"",FORMULARIO!F9&lt;&gt;"",FORMULARIO!B8&lt;&gt;""),"","1/2 M.EXTR."))</f>
        <v/>
      </c>
      <c r="AJ63" s="991" t="str">
        <f>IF(AD58="","",IFERROR(IF(OR(AF2=J1,AF2=J2,AF2=J3),Q83,0),""))</f>
        <v/>
      </c>
      <c r="AK63" s="992" t="str">
        <f>IF(AD58="","",IF(OR(FORMULARIO!B3&lt;&gt;"",FORMULARIO!B4&lt;&gt;"",FORMULARIO!B5&lt;&gt;"",FORMULARIO!B6&lt;&gt;"",FORMULARIO!F9&lt;&gt;"",FORMULARIO!B8&lt;&gt;""),"",AQ63))</f>
        <v/>
      </c>
      <c r="AL63" s="67" t="str">
        <f>IF(AD58="","",IF(OR(FORMULARIO!B3&lt;&gt;"",FORMULARIO!B4&lt;&gt;"",FORMULARIO!B5&lt;&gt;"",FORMULARIO!B6&lt;&gt;"",FORMULARIO!F9&lt;&gt;"",FORMULARIO!B8&lt;&gt;""),"","sin.pernoctar"))</f>
        <v/>
      </c>
      <c r="AM63" s="993" t="str">
        <f>IF(AD58="","",IFERROR(IF(OR(AF2=J1,AF2=J2,AF2=J3,AF2=J5),O85,0),""))</f>
        <v/>
      </c>
      <c r="AN63" s="67" t="s">
        <v>615</v>
      </c>
      <c r="AO63" s="543">
        <f>IFERROR(AD63*AD64,0)</f>
        <v>0</v>
      </c>
      <c r="AP63">
        <f>IFERROR(AG63*AG64,0)</f>
        <v>0</v>
      </c>
      <c r="AQ63">
        <f>IFERROR(AJ63*AJ64,0)</f>
        <v>0</v>
      </c>
      <c r="AR63">
        <f>IFERROR(AM63*AM64,0)</f>
        <v>0</v>
      </c>
      <c r="AS63" s="914">
        <f>IFERROR(AO63+AP63+AQ63+AR63,0)</f>
        <v>0</v>
      </c>
      <c r="AT63" s="919" t="s">
        <v>615</v>
      </c>
    </row>
    <row r="64" spans="1:49" ht="13.8" thickBot="1" x14ac:dyDescent="0.3">
      <c r="A64" s="858" t="s">
        <v>571</v>
      </c>
      <c r="B64" s="828" t="s">
        <v>572</v>
      </c>
      <c r="C64" s="830">
        <f>IF(E62=J1,O1,O3)</f>
        <v>0.58333333333333304</v>
      </c>
      <c r="D64" s="830"/>
      <c r="E64" s="835" t="s">
        <v>309</v>
      </c>
      <c r="F64" s="548" t="str">
        <f>IF(AND(OR(ANEXO!B207=J1,ANEXO!B207=J3),B63&gt;1,B62&lt;C64),E64,IF(AND(ANEXO!B207=J5,B63&gt;1,B62&lt;L7),E64,""))</f>
        <v/>
      </c>
      <c r="G64" s="465"/>
      <c r="H64" s="848">
        <f>IF(B63="",0,IF(F64&lt;&gt;"","1",0))</f>
        <v>0</v>
      </c>
      <c r="J64" s="1465" t="s">
        <v>571</v>
      </c>
      <c r="K64" s="828" t="s">
        <v>572</v>
      </c>
      <c r="L64" s="830">
        <v>0.58333333333333304</v>
      </c>
      <c r="M64" s="830"/>
      <c r="N64" s="828" t="s">
        <v>309</v>
      </c>
      <c r="O64" s="834" t="str">
        <f>IF(AND(N62=J4,K63&gt;1,K62&lt;L64),N64,"")</f>
        <v/>
      </c>
      <c r="P64" s="848">
        <f>IF(K63="",0,IF(O64&lt;&gt;"","1",0))</f>
        <v>0</v>
      </c>
      <c r="AC64" s="610"/>
      <c r="AD64" s="994" t="str">
        <f>IF(AD58="","",IFERROR(IF(AN66&lt;&gt;"",0,IF(AL58="SÍ",0,(VLOOKUP(AF56,ANEXO!A210:G387,4,0)))),0))</f>
        <v/>
      </c>
      <c r="AG64" s="994" t="str">
        <f>IF(AD58="","",IFERROR(IF(AN66&lt;&gt;"",0,IF(AL58="SÍ",0,(VLOOKUP(AF56,ANEXO!A210:G387,6,0)))),0))</f>
        <v/>
      </c>
      <c r="AJ64" s="543" t="str">
        <f>IF(AD58="","",IFERROR(IF(AN66&lt;&gt;"",0,IF(AL58="SÍ",0,(VLOOKUP(AF56,ANEXO!A210:G387,7,0)))),0))</f>
        <v/>
      </c>
      <c r="AL64" s="921" t="str">
        <f>IF(AD58="","",IF(OR(FORMULARIO!B3&lt;&gt;"",FORMULARIO!B4&lt;&gt;"",FORMULARIO!B5&lt;&gt;"",FORMULARIO!B6&lt;&gt;"",FORMULARIO!F9&lt;&gt;"",FORMULARIO!B8&lt;&gt;""),"",AR63))</f>
        <v/>
      </c>
      <c r="AM64" s="635" t="str">
        <f>IF(AD58="","",IFERROR(IF(AN66&lt;&gt;"",0,IF(AL58="SÍ",0,(VLOOKUP(AF56,ANEXO!A210:G387,5,0)))),0))</f>
        <v/>
      </c>
      <c r="AN64" s="1186">
        <v>65</v>
      </c>
      <c r="AO64" s="1186">
        <v>1950</v>
      </c>
      <c r="AP64" s="1208">
        <f>IFERROR(DATEDIF(AK56,AK57,"M"),0)</f>
        <v>0</v>
      </c>
      <c r="AQ64" s="780">
        <f>IFERROR(DAY(AK56),0)</f>
        <v>0</v>
      </c>
      <c r="AR64" s="780">
        <f>IFERROR(DAY(AK57),0)</f>
        <v>0</v>
      </c>
      <c r="AS64" s="104">
        <f>IF(AND(AP64=3,AQ64=AR64),0,IF(AR64&gt;AQ64,AR64-AQ64,AR64))</f>
        <v>0</v>
      </c>
      <c r="AT64" s="1190">
        <f>IF(AK56=AK57,AO64*AP643,AO64*AP64+(AS64*AN64)+(AN64*AU64)+(AN64*AU65))</f>
        <v>0</v>
      </c>
      <c r="AU64" s="1204">
        <f>IFERROR(AK56-AD58,0)</f>
        <v>0</v>
      </c>
      <c r="AV64" t="s">
        <v>1220</v>
      </c>
    </row>
    <row r="65" spans="1:49" ht="13.8" thickBot="1" x14ac:dyDescent="0.3">
      <c r="A65" s="859"/>
      <c r="B65" s="829" t="s">
        <v>573</v>
      </c>
      <c r="C65" s="830">
        <f>IF(E62=J1,O1,O3)</f>
        <v>0.58333333333333304</v>
      </c>
      <c r="D65" s="830">
        <v>0.91666666666666696</v>
      </c>
      <c r="E65" s="833" t="s">
        <v>301</v>
      </c>
      <c r="F65" s="836" t="str">
        <f>IF(AND(OR(ANEXO!B207=J1,ANEXO!B207=J3),B63&gt;1,B62&gt;=C65,B62&lt;D65),E65,IF(AND(ANEXO!B207=J5,B63&gt;1,B62&gt;L7,B62&lt;=L8),E65,""))</f>
        <v/>
      </c>
      <c r="G65" s="837"/>
      <c r="H65" s="848">
        <f>IF(B63="",0,IF(F65&lt;&gt;"","1",0))</f>
        <v>0</v>
      </c>
      <c r="J65" s="1466"/>
      <c r="K65" s="829" t="s">
        <v>614</v>
      </c>
      <c r="L65" s="830">
        <v>0.58333333333333304</v>
      </c>
      <c r="M65" s="830">
        <v>0.91666666666666696</v>
      </c>
      <c r="N65" s="829" t="s">
        <v>301</v>
      </c>
      <c r="O65" s="837" t="str">
        <f>IF(AND(N62=J4,K63&gt;1,K62&gt;=L65,K62&lt;=M65),N65,"")</f>
        <v/>
      </c>
      <c r="P65" s="848">
        <f>IF(K63="",0,IF(O65&lt;&gt;"","1",0))</f>
        <v>0</v>
      </c>
      <c r="AC65" s="995" t="str">
        <f>IF(AD58="","",IF(AN66&lt;&gt;"",ANEXO!D389,IF(AND(ANEXO!B404=ANEXO!AX3,ANEXO!F405&gt;0),"Según convocatoria del proyecto las dietas en este país extranjero incluyendo alojamiento más manutención son de €/día "&amp;TEXT(ANEXO!D405,"#.###,00 €"),IF(AF59&lt;&gt;"","Según normativa Total dietas en el extrajero desglosado sin pagos a terceros: en manutención "&amp;TEXT((AS63),"#.###,00 €")&amp;" alojamiento "&amp;TEXT(AR62,"#.###,00 €"),""))))</f>
        <v/>
      </c>
      <c r="AD65" s="620"/>
      <c r="AE65" s="620"/>
      <c r="AF65" s="620"/>
      <c r="AG65" s="620"/>
      <c r="AH65" s="620"/>
      <c r="AI65" s="620"/>
      <c r="AJ65" s="620"/>
      <c r="AK65" s="620"/>
      <c r="AL65" s="996" t="str">
        <f>IF(AD58="","",IF(OR(FORMULARIO!B3&lt;&gt;"",FORMULARIO!B4&lt;&gt;"",FORMULARIO!B5&lt;&gt;"",FORMULARIO!B6&lt;&gt;"",FORMULARIO!F9&lt;&gt;"",FORMULARIO!B8&lt;&gt;""),"","TOTAL"))</f>
        <v/>
      </c>
      <c r="AM65" s="1191" t="str">
        <f>IF(AD58="","",AO65)</f>
        <v/>
      </c>
      <c r="AN65" s="958" t="s">
        <v>597</v>
      </c>
      <c r="AO65" s="969" t="str">
        <f>IF(OR(FORMULARIO!B3&lt;&gt;"",FORMULARIO!B4&lt;&gt;"",FORMULARIO!B5&lt;&gt;"",FORMULARIO!B6&lt;&gt;"",FORMULARIO!F9&lt;&gt;""),"",IFERROR(IF(AN66&lt;&gt;"",AT64,AR61+AS63+AR65),0))</f>
        <v/>
      </c>
      <c r="AP65" s="1037">
        <f>IFERROR(AR61+AS63+AR65,0)</f>
        <v>0</v>
      </c>
      <c r="AQ65" s="1187">
        <f>IFERROR(AD63+AG63+AJ63+AM63,0)</f>
        <v>0</v>
      </c>
      <c r="AR65" s="1172">
        <f>ANEXO!F405</f>
        <v>0</v>
      </c>
      <c r="AU65" s="1204">
        <f>IFERROR(AD59-AK57,0)</f>
        <v>0</v>
      </c>
      <c r="AV65" t="s">
        <v>1221</v>
      </c>
    </row>
    <row r="66" spans="1:49" ht="13.8" thickBot="1" x14ac:dyDescent="0.3">
      <c r="A66" s="860"/>
      <c r="B66" s="829" t="s">
        <v>574</v>
      </c>
      <c r="C66" s="830">
        <v>0.91666666666666696</v>
      </c>
      <c r="D66" s="830"/>
      <c r="E66" s="829" t="s">
        <v>575</v>
      </c>
      <c r="F66" s="839" t="str">
        <f>IF(AND(OR(ANEXO!B207=J1,ANEXO!B207=J3),B63&gt;1,B62&gt;C66),E66,IF(AND(ANEXO!B207=J5,B63&gt;1,B62&gt;L8),E66,""))</f>
        <v/>
      </c>
      <c r="G66" s="840"/>
      <c r="H66" s="629"/>
      <c r="J66" s="1467"/>
      <c r="K66" s="829" t="s">
        <v>574</v>
      </c>
      <c r="L66" s="830">
        <v>0.91666666666666696</v>
      </c>
      <c r="M66" s="830"/>
      <c r="N66" s="829" t="s">
        <v>575</v>
      </c>
      <c r="O66" s="840" t="str">
        <f>IF(AND(N62=J4,K63&gt;1,K62&gt;L66),N66,"")</f>
        <v/>
      </c>
      <c r="P66" s="848">
        <f>IF(O66&lt;&gt;"","1",0)</f>
        <v>0</v>
      </c>
      <c r="AN66" s="964" t="str">
        <f>IF(AND(FORMULARIO!H144&lt;&gt;"",FORMULARIO!H146="SÍ"),ANEXO!D389,"")</f>
        <v/>
      </c>
      <c r="AO66" s="964"/>
      <c r="AP66" s="964"/>
      <c r="AQ66" s="964"/>
      <c r="AR66" s="964"/>
      <c r="AS66" s="964"/>
      <c r="AT66" s="964"/>
      <c r="AU66" s="964"/>
      <c r="AV66" s="964"/>
      <c r="AW66" s="964"/>
    </row>
    <row r="67" spans="1:49" x14ac:dyDescent="0.25">
      <c r="A67" s="610"/>
      <c r="H67" s="611"/>
      <c r="J67" s="610"/>
      <c r="P67" s="611"/>
      <c r="AC67" s="1458" t="str">
        <f>IF(AD69="","",IF(OR(FORMULARIO!B3&lt;&gt;"",FORMULARIO!B4&lt;&gt;"",FORMULARIO!B5&lt;&gt;"",FORMULARIO!B6&lt;&gt;"",FORMULARIO!F9&lt;&gt;"",FORMULARIO!B8&lt;&gt;""),"","DIETAS EN EL  TERCER PAÍS EXTRANJERO"))</f>
        <v/>
      </c>
      <c r="AD67" s="1459"/>
      <c r="AE67" s="1459"/>
      <c r="AF67" s="1177" t="str">
        <f>IF(AD69="","",FORMULARIO!H160)</f>
        <v/>
      </c>
      <c r="AG67" s="1177"/>
      <c r="AH67" s="617" t="str">
        <f>IF(AD69="","",IF(OR(FORMULARIO!B3&lt;&gt;"",FORMULARIO!B4&lt;&gt;"",FORMULARIO!B5&lt;&gt;"",FORMULARIO!B6&lt;&gt;"",FORMULARIO!F9&lt;&gt;"",FORMULARIO!B8&lt;&gt;""),"",FORMULARIO!C160))</f>
        <v/>
      </c>
      <c r="AI67" s="617"/>
      <c r="AJ67" s="617"/>
      <c r="AK67" s="998" t="str">
        <f>IF(AD69="","",IF(FORMULARIO!C161="","",FORMULARIO!C161))</f>
        <v/>
      </c>
      <c r="AL67" s="998"/>
      <c r="AM67" s="618"/>
      <c r="AN67" s="911" t="str">
        <f>O87</f>
        <v/>
      </c>
    </row>
    <row r="68" spans="1:49" x14ac:dyDescent="0.25">
      <c r="A68" s="849" t="s">
        <v>576</v>
      </c>
      <c r="B68" s="832"/>
      <c r="C68" s="471"/>
      <c r="D68" s="465"/>
      <c r="E68" s="833" t="s">
        <v>309</v>
      </c>
      <c r="F68" s="548" t="str">
        <f>IF(AND(OR(ANEXO!B207=J1,ANEXO!B207=J3,ANEXO!B207=J5),B63&gt;1),E68,"")</f>
        <v/>
      </c>
      <c r="G68" s="465"/>
      <c r="H68" s="850">
        <f>IFERROR(IF(B63="",0,IF(F68="",0,B63-2)),0)</f>
        <v>0</v>
      </c>
      <c r="J68" s="849" t="s">
        <v>576</v>
      </c>
      <c r="K68" s="832"/>
      <c r="L68" s="471"/>
      <c r="M68" s="465"/>
      <c r="N68" s="828" t="s">
        <v>309</v>
      </c>
      <c r="O68" s="834" t="str">
        <f>IF(AF2=J4,N68,"")</f>
        <v/>
      </c>
      <c r="P68" s="850">
        <f>IFERROR(IF(O68="",0,K63-2),0)</f>
        <v>0</v>
      </c>
      <c r="AC68" s="610"/>
      <c r="AH68" t="str">
        <f>IF(AD69="","",IF(OR(FORMULARIO!B3&lt;&gt;"",FORMULARIO!B4&lt;&gt;"",FORMULARIO!B5&lt;&gt;"",FORMULARIO!B6&lt;&gt;"",FORMULARIO!F9&lt;&gt;"",FORMULARIO!B8&lt;&gt;""),"",FORMULARIO!F160))</f>
        <v/>
      </c>
      <c r="AK68" s="678" t="str">
        <f>IF(AD69="","",IF(FORMULARIO!F161="","",FORMULARIO!F161))</f>
        <v/>
      </c>
      <c r="AL68" s="678"/>
      <c r="AM68" s="611"/>
      <c r="AN68" s="926" t="str">
        <f>P87</f>
        <v/>
      </c>
    </row>
    <row r="69" spans="1:49" x14ac:dyDescent="0.25">
      <c r="A69" s="610"/>
      <c r="H69" s="611"/>
      <c r="J69" s="610"/>
      <c r="P69" s="611"/>
      <c r="AC69" s="610" t="str">
        <f>IF(AD69="","",IF(OR(FORMULARIO!B3&lt;&gt;"",FORMULARIO!B4&lt;&gt;"",FORMULARIO!B5&lt;&gt;"",FORMULARIO!B6&lt;&gt;"",FORMULARIO!F9&lt;&gt;"",FORMULARIO!B8&lt;&gt;""),"",FORMULARIO!C163))</f>
        <v/>
      </c>
      <c r="AD69" s="678" t="str">
        <f>IF(FORMULARIO!C164="","",FORMULARIO!C164)</f>
        <v/>
      </c>
      <c r="AE69" s="676" t="str">
        <f>IF(AD69="","",IF(FORMULARIO!F164="","",FORMULARIO!F164))</f>
        <v/>
      </c>
      <c r="AF69" s="67" t="str">
        <f>IF(AD69="","",IF(OR(FORMULARIO!B3&lt;&gt;"",FORMULARIO!B4&lt;&gt;"",FORMULARIO!B5&lt;&gt;"",FORMULARIO!B6&lt;&gt;"",FORMULARIO!F9&lt;&gt;"",FORMULARIO!B8&lt;&gt;""),"","Total días de viaje"))</f>
        <v/>
      </c>
      <c r="AH69" s="1028" t="str">
        <f>IF(AD69="","",IF(OR(FORMULARIO!B3&lt;&gt;"",FORMULARIO!B4&lt;&gt;"",FORMULARIO!B5&lt;&gt;"",FORMULARIO!B6&lt;&gt;"",FORMULARIO!F9&lt;&gt;"",FORMULARIO!B8&lt;&gt;""),"",FORMULARIO!C165))</f>
        <v/>
      </c>
      <c r="AJ69" s="978"/>
      <c r="AL69" s="578" t="str">
        <f>IF(AD69="","",FORMULARIO!F165)</f>
        <v/>
      </c>
      <c r="AM69" s="611"/>
      <c r="AN69" s="1138">
        <f>IF(AM72="",0,AM72)</f>
        <v>0</v>
      </c>
    </row>
    <row r="70" spans="1:49" x14ac:dyDescent="0.25">
      <c r="A70" s="861" t="s">
        <v>577</v>
      </c>
      <c r="B70" s="829" t="s">
        <v>578</v>
      </c>
      <c r="C70" s="830">
        <f>IF(E62=J1,P1,P3)</f>
        <v>0.625</v>
      </c>
      <c r="D70" s="581"/>
      <c r="E70" s="828" t="s">
        <v>575</v>
      </c>
      <c r="F70" s="548" t="str">
        <f>IF(AND(OR(ANEXO!B207=J1,ANEXO!B207=J3,ANEXO!B207=J5),C62&lt;L7),E70,"")</f>
        <v/>
      </c>
      <c r="G70" s="834"/>
      <c r="H70" s="848"/>
      <c r="J70" s="1468" t="s">
        <v>577</v>
      </c>
      <c r="K70" s="829"/>
      <c r="L70" s="830"/>
      <c r="M70" s="581"/>
      <c r="N70" s="828"/>
      <c r="O70" s="834"/>
      <c r="P70" s="848"/>
      <c r="AC70" s="610" t="str">
        <f>IF(AD69="","",IF(OR(FORMULARIO!B3&lt;&gt;"",FORMULARIO!B4&lt;&gt;"",FORMULARIO!B5&lt;&gt;"",FORMULARIO!B6&lt;&gt;"",FORMULARIO!F9&lt;&gt;"",FORMULARIO!B8&lt;&gt;""),"",FORMULARIO!C166))</f>
        <v/>
      </c>
      <c r="AD70" s="678" t="str">
        <f>IF(FORMULARIO!C167="","",FORMULARIO!C167)</f>
        <v/>
      </c>
      <c r="AE70" s="676" t="str">
        <f>IF(AD69="","",IF(FORMULARIO!F167="","",FORMULARIO!F167))</f>
        <v/>
      </c>
      <c r="AF70" s="983" t="str">
        <f>IF(AD69="","",IF(OR(AD69="",AD70=""),"",(AD70-AD69)+1))</f>
        <v/>
      </c>
      <c r="AH70" s="578" t="str">
        <f>IF(AD69="","",FORMULARIO!C170)</f>
        <v/>
      </c>
      <c r="AL70" s="578" t="str">
        <f>IF(AD69="","",IF(AH70="","",FORMULARIO!F170))</f>
        <v/>
      </c>
      <c r="AM70" s="611"/>
    </row>
    <row r="71" spans="1:49" ht="13.8" thickBot="1" x14ac:dyDescent="0.3">
      <c r="A71" s="862"/>
      <c r="B71" s="829" t="s">
        <v>579</v>
      </c>
      <c r="C71" s="841">
        <f>IF(E62=J1,P1,P3)</f>
        <v>0.625</v>
      </c>
      <c r="D71" s="841">
        <v>0.91666666666666696</v>
      </c>
      <c r="E71" s="165" t="s">
        <v>301</v>
      </c>
      <c r="F71" s="548" t="str">
        <f>IF(AND(OR(ANEXO!B207=J1,ANEXO!B207=J3),C62&gt;C71,C62&lt;=D71),E71,IF(AND(ANEXO!B207=J5,C62&gt;L7,C62&lt;=L8),E71,""))</f>
        <v/>
      </c>
      <c r="G71" s="834"/>
      <c r="H71" s="848">
        <f>IF(B63="",0,IF(FORMULARIO!G73&lt;&gt;"",0,IF(F71&lt;&gt;"","1",0)))</f>
        <v>0</v>
      </c>
      <c r="I71" s="929">
        <f>IF(O22&lt;&gt;"",1,0)</f>
        <v>0</v>
      </c>
      <c r="J71" s="1469"/>
      <c r="K71" s="829" t="s">
        <v>617</v>
      </c>
      <c r="L71" s="841">
        <v>0.58333333333333304</v>
      </c>
      <c r="M71" s="842">
        <v>0.91666666666666696</v>
      </c>
      <c r="N71" s="165" t="s">
        <v>301</v>
      </c>
      <c r="O71" s="887" t="str">
        <f>IF(AND(N62=J4,K63&gt;1,L62&gt;=L71,L62&lt;=M71),N71,"")</f>
        <v/>
      </c>
      <c r="P71" s="848">
        <f>IF(K63="",0,IF(O71&lt;&gt;"",1,0))</f>
        <v>0</v>
      </c>
      <c r="AC71" s="1032" t="str">
        <f>IF(AD69="","",IF(AND(AE70&lt;M96,AF2=J1),FORMULARIO!C169,""))</f>
        <v/>
      </c>
      <c r="AD71" s="678"/>
      <c r="AE71" s="1033" t="str">
        <f>IF(AD69="","",IF(AC71="","",IF(AN68="","",AN68)))</f>
        <v/>
      </c>
      <c r="AH71" s="152" t="str">
        <f>IF(AD69="","",IF(OR(FORMULARIO!B3&lt;&gt;"",FORMULARIO!B4&lt;&gt;"",FORMULARIO!B5&lt;&gt;"",FORMULARIO!B6&lt;&gt;"",FORMULARIO!F9&lt;&gt;"",FORMULARIO!B8&lt;&gt;""),"","noches"))</f>
        <v/>
      </c>
      <c r="AL71" s="152" t="str">
        <f>IF(AD69="","",IF(OR(FORMULARIO!B3&lt;&gt;"",FORMULARIO!B4&lt;&gt;"",FORMULARIO!B5&lt;&gt;"",FORMULARIO!B6&lt;&gt;"",FORMULARIO!F9&lt;&gt;"",FORMULARIO!B8&lt;&gt;""),"","noches"))</f>
        <v/>
      </c>
      <c r="AM71" s="611"/>
    </row>
    <row r="72" spans="1:49" ht="13.8" thickBot="1" x14ac:dyDescent="0.3">
      <c r="A72" s="863"/>
      <c r="B72" s="851" t="s">
        <v>574</v>
      </c>
      <c r="C72" s="852">
        <v>0.91666666666666696</v>
      </c>
      <c r="D72" s="841">
        <v>1</v>
      </c>
      <c r="E72" s="851" t="s">
        <v>581</v>
      </c>
      <c r="F72" s="853" t="str">
        <f>IF(C62&gt;=D72,"",IF(AND(OR(ANEXO!B207=J1,ANEXO!B207=J3),C62&gt;C72),E72,IF(AND(ANEXO!B207=J5,C62&gt;L8,C62&lt;D72),E64,"")))</f>
        <v/>
      </c>
      <c r="G72" s="854"/>
      <c r="H72" s="855">
        <f>IF(AND(I71=0,C62&gt;C72,C62&lt;D72),1,0)</f>
        <v>0</v>
      </c>
      <c r="J72" s="1470"/>
      <c r="K72" s="851" t="s">
        <v>574</v>
      </c>
      <c r="L72" s="852">
        <v>0.91666666666666696</v>
      </c>
      <c r="M72" s="842">
        <v>1</v>
      </c>
      <c r="N72" s="1021" t="s">
        <v>602</v>
      </c>
      <c r="O72" s="1023" t="str">
        <f>IF(AND(N62=J4,K63&gt;1,L62&gt;L72,P63="SÍ"),N72,IF(AND(N62=J4,K63&gt;1,L62&gt;L72,P63="NO"),N71,""))</f>
        <v/>
      </c>
      <c r="P72" s="1022">
        <f>IF(K63="",0,IF(L62=M72,0,IF(AND(L62&gt;M71,P63="NO"),1,0)))</f>
        <v>0</v>
      </c>
      <c r="AC72" s="1000" t="str">
        <f>IF(AD69="","",IF(OR(FORMULARIO!B3&lt;&gt;"",FORMULARIO!B4&lt;&gt;"",FORMULARIO!B5&lt;&gt;"",FORMULARIO!B6&lt;&gt;"",FORMULARIO!F9&lt;&gt;"",FORMULARIO!B8&lt;&gt;""),"","Alojamiento: "))</f>
        <v/>
      </c>
      <c r="AD72" s="985" t="str">
        <f>IF(AD69="","",IF(OR(FORMULARIO!B3&lt;&gt;"",FORMULARIO!B4&lt;&gt;"",FORMULARIO!B5&lt;&gt;"",FORMULARIO!B6&lt;&gt;"",FORMULARIO!F9&lt;&gt;"",FORMULARIO!B8&lt;&gt;""),"","decreto/noche"))</f>
        <v/>
      </c>
      <c r="AE72" s="986" t="str">
        <f>IF(AD69="","",IFERROR(VLOOKUP(AF67,ANEXO!A210:G398,3,0),""))</f>
        <v/>
      </c>
      <c r="AG72" s="1111" t="str">
        <f>IF(AD69="","",IF(OR(FORMULARIO!B3&lt;&gt;"",FORMULARIO!B4&lt;&gt;"",FORMULARIO!B5&lt;&gt;"",FORMULARIO!B6&lt;&gt;"",FORMULARIO!F9&lt;&gt;"",FORMULARIO!B8&lt;&gt;""),"","total factura"))</f>
        <v/>
      </c>
      <c r="AH72" s="1001" t="str">
        <f>IF(AD69="","",FORMULARIO!F167)</f>
        <v/>
      </c>
      <c r="AI72" s="543" t="str">
        <f>IF(AD69="","",AO73)</f>
        <v/>
      </c>
      <c r="AJ72" s="1445" t="str">
        <f>IF(AD69="","",IF(OR(FORMULARIO!B3&lt;&gt;"",FORMULARIO!B4&lt;&gt;"",FORMULARIO!B5&lt;&gt;"",FORMULARIO!B6&lt;&gt;"",FORMULARIO!F9&lt;&gt;"",FORMULARIO!B8&lt;&gt;"",FORMULARIO!B8&lt;&gt;""),"","Pagos a Terceros"))</f>
        <v/>
      </c>
      <c r="AK72" s="1445"/>
      <c r="AL72" s="988" t="str">
        <f>IF(AD69="","",IF(OR(FORMULARIO!B3&lt;&gt;"",FORMULARIO!B4&lt;&gt;"",FORMULARIO!B5&lt;&gt;"",FORMULARIO!B6&lt;&gt;"",FORMULARIO!F9&lt;&gt;"",FORMULARIO!B8&lt;&gt;""),"",FORMULARIO!I173))</f>
        <v/>
      </c>
      <c r="AM72" s="989" t="str">
        <f>IF(AD69="","",IF(OR(FORMULARIO!B3&lt;&gt;"",FORMULARIO!B4&lt;&gt;"",FORMULARIO!B5&lt;&gt;"",FORMULARIO!B6&lt;&gt;"",FORMULARIO!F9&lt;&gt;"",FORMULARIO!B8&lt;&gt;""),"",FORMULARIO!G173))</f>
        <v/>
      </c>
      <c r="AN72" s="67" t="s">
        <v>630</v>
      </c>
      <c r="AO72" s="67" t="s">
        <v>612</v>
      </c>
      <c r="AP72" s="67" t="s">
        <v>613</v>
      </c>
    </row>
    <row r="73" spans="1:49" ht="13.8" thickBot="1" x14ac:dyDescent="0.3">
      <c r="A73" s="496" t="s">
        <v>309</v>
      </c>
      <c r="B73" s="880">
        <f>H64+H68+I73</f>
        <v>0</v>
      </c>
      <c r="C73" s="496" t="s">
        <v>631</v>
      </c>
      <c r="D73" s="496">
        <f>H65+H71</f>
        <v>0</v>
      </c>
      <c r="E73" s="496" t="s">
        <v>581</v>
      </c>
      <c r="F73" s="496">
        <f>IF(I71&lt;&gt;"",0,H72)</f>
        <v>0</v>
      </c>
      <c r="I73" s="1115">
        <f>IF(F72=E64,1,0)</f>
        <v>0</v>
      </c>
      <c r="J73" s="496" t="s">
        <v>309</v>
      </c>
      <c r="K73" s="880">
        <f>P64+P68+O73</f>
        <v>0</v>
      </c>
      <c r="L73" s="496" t="s">
        <v>631</v>
      </c>
      <c r="M73" s="496">
        <f>IF(P63="NO",P65+P71+P72,P65+P71)</f>
        <v>0</v>
      </c>
      <c r="N73" s="496" t="s">
        <v>602</v>
      </c>
      <c r="O73" s="1024">
        <f>IF(L62=M72,0,IF(AND(L62&gt;M71,P63="SÍ"),1,0))</f>
        <v>0</v>
      </c>
      <c r="P73" s="578">
        <f>IF(K63="",0,IF(L62=M72,0,IF(O72=N71,1,0)))</f>
        <v>0</v>
      </c>
      <c r="AC73" s="1011" t="str">
        <f>IF(AD69="","",IF(OR(FORMULARIO!B3&lt;&gt;"",FORMULARIO!B4&lt;&gt;"",FORMULARIO!B5&lt;&gt;"",FORMULARIO!B6&lt;&gt;"",FORMULARIO!F9&lt;&gt;"",FORMULARIO!B8&lt;&gt;""),"",IFERROR(IF(AO73&gt;AN73,"Según decreto de dietas le corresponde"&amp;TEXT((AN73)," #.###,00 €"),""),"")))</f>
        <v/>
      </c>
      <c r="AD73" s="990"/>
      <c r="AE73" s="990"/>
      <c r="AG73" s="750" t="str">
        <f>IF(AD69="","",IF(OR(FORMULARIO!B3&lt;&gt;"",FORMULARIO!B4&lt;&gt;"",FORMULARIO!B5&lt;&gt;"",FORMULARIO!B6&lt;&gt;"",FORMULARIO!F9&lt;&gt;"",FORMULARIO!B8&lt;&gt;""),"",AO73))</f>
        <v/>
      </c>
      <c r="AM73" s="611"/>
      <c r="AN73" s="543">
        <f>IFERROR(AE72*AH72,0)</f>
        <v>0</v>
      </c>
      <c r="AO73">
        <f>FORMULARIO!C173</f>
        <v>0</v>
      </c>
      <c r="AP73">
        <f>IF(AO73&gt;AN73,AO73-AN73,AO73)</f>
        <v>0</v>
      </c>
      <c r="AQ73" s="971" t="s">
        <v>632</v>
      </c>
      <c r="AR73" s="1193">
        <f>IFERROR(IF(AO73&gt;AN73,AN73,AO73),0)</f>
        <v>0</v>
      </c>
    </row>
    <row r="74" spans="1:49" x14ac:dyDescent="0.25">
      <c r="A74" s="843" t="s">
        <v>567</v>
      </c>
      <c r="B74" s="844">
        <f>FORMULARIO!F147</f>
        <v>0</v>
      </c>
      <c r="C74" s="845">
        <f>FORMULARIO!F150</f>
        <v>0</v>
      </c>
      <c r="D74" s="844"/>
      <c r="E74" s="846" t="str">
        <f>AF2</f>
        <v/>
      </c>
      <c r="F74" s="933"/>
      <c r="G74" s="617"/>
      <c r="H74" s="618"/>
      <c r="J74" s="843" t="s">
        <v>567</v>
      </c>
      <c r="K74" s="844">
        <f>FORMULARIO!F147</f>
        <v>0</v>
      </c>
      <c r="L74" s="845">
        <f>FORMULARIO!F150</f>
        <v>0</v>
      </c>
      <c r="M74" s="844"/>
      <c r="N74" s="846" t="str">
        <f>AF2</f>
        <v/>
      </c>
      <c r="O74" s="617"/>
      <c r="P74" s="875"/>
      <c r="Q74" s="1117" t="str">
        <f>ANEXO!B207</f>
        <v>BORRADOR</v>
      </c>
      <c r="AC74" s="972" t="str">
        <f>IF(AD69="","",IF(OR(FORMULARIO!B3&lt;&gt;"",FORMULARIO!B4&lt;&gt;"",FORMULARIO!B5&lt;&gt;"",FORMULARIO!B6&lt;&gt;"",FORMULARIO!F9&lt;&gt;"",FORMULARIO!B8&lt;&gt;""),"","Manutención: pernoctando"))</f>
        <v/>
      </c>
      <c r="AD74" s="991" t="str">
        <f>IF(AD69="","",IF(AF2=J4,B97,(IF(OR(AF2=J1,AF2=J2,AF2=J3),K97,0))))</f>
        <v/>
      </c>
      <c r="AE74" s="992" t="str">
        <f>IF(AD69="","",IF(OR(FORMULARIO!B3&lt;&gt;"",FORMULARIO!B4&lt;&gt;"",FORMULARIO!B5&lt;&gt;"",FORMULARIO!B6&lt;&gt;"",FORMULARIO!F9&lt;&gt;"",FORMULARIO!B8&lt;&gt;""),"",AO75))</f>
        <v/>
      </c>
      <c r="AF74" s="138" t="str">
        <f>IF(AD69="","","1/2 M")</f>
        <v/>
      </c>
      <c r="AG74" s="991" t="str">
        <f>IF(AD69="","",IFERROR(IF(OR(AF2=J1,AF2=J2,AF2=J3),M97,IF(AF2=J4,D97,0)),0))</f>
        <v/>
      </c>
      <c r="AH74" s="992" t="str">
        <f>IF(AD69="","",IF(OR(FORMULARIO!B3&lt;&gt;"",FORMULARIO!B4&lt;&gt;"",FORMULARIO!B5&lt;&gt;"",FORMULARIO!B6&lt;&gt;"",FORMULARIO!F9&lt;&gt;"",FORMULARIO!B8&lt;&gt;""),"",AP75))</f>
        <v/>
      </c>
      <c r="AI74" t="str">
        <f>IF(AD69="","",IF(OR(FORMULARIO!B3&lt;&gt;"",FORMULARIO!B4&lt;&gt;"",FORMULARIO!B5&lt;&gt;"",FORMULARIO!B6&lt;&gt;"",FORMULARIO!F9&lt;&gt;"",FORMULARIO!B8&lt;&gt;""),"","1/2 M.EXTR."))</f>
        <v/>
      </c>
      <c r="AJ74" s="991" t="str">
        <f>IF(AD69="","",IFERROR(IF(OR(AF2=J1,AF2=J2,AF2=J3),Q95,0),0))</f>
        <v/>
      </c>
      <c r="AK74" s="992" t="str">
        <f>IF(AD69="","",IF(OR(FORMULARIO!B3&lt;&gt;"",FORMULARIO!B4&lt;&gt;"",FORMULARIO!B5&lt;&gt;"",FORMULARIO!B6&lt;&gt;"",FORMULARIO!F9&lt;&gt;"",FORMULARIO!B8&lt;&gt;""),"",AQ75))</f>
        <v/>
      </c>
      <c r="AL74" t="str">
        <f>IF(AD69="","",IF(OR(FORMULARIO!B3&lt;&gt;"",FORMULARIO!B4&lt;&gt;"",FORMULARIO!B5&lt;&gt;"",FORMULARIO!B6&lt;&gt;"",FORMULARIO!F9&lt;&gt;"",FORMULARIO!B8&lt;&gt;""),"","sin.pernoctar"))</f>
        <v/>
      </c>
      <c r="AM74" s="993" t="str">
        <f>IF(AD69="","",IFERROR(IF(OR(AF2=J1,AF2=J2,AF2=J3),O97,0),""))</f>
        <v/>
      </c>
      <c r="AN74" s="1190">
        <v>65</v>
      </c>
      <c r="AO74" s="1186">
        <v>1950</v>
      </c>
      <c r="AP74" s="1207" t="str">
        <f>IFERROR(DATEDIF(AK67,AK68,"M"),"")</f>
        <v/>
      </c>
      <c r="AQ74" s="1195" t="str">
        <f>IFERROR(DAY(AK67),"")</f>
        <v/>
      </c>
      <c r="AR74" s="1195">
        <f>IFERROR(DAY(AK68),0)</f>
        <v>0</v>
      </c>
      <c r="AS74" s="1205">
        <f>IF(AND(AP74=3,AQ74=AR74),0,IF(AR74&gt;AQ74,AR74-AQ74,AR74))</f>
        <v>0</v>
      </c>
      <c r="AT74" s="801">
        <f>IF(AK67=AK68,AO74*AP674,AN74*AS74+(AO74*AP74)+(AN74*AU74)+(AN74*AU75))</f>
        <v>0</v>
      </c>
      <c r="AU74" s="1204">
        <f>IFERROR(AK67-AD69,0)</f>
        <v>0</v>
      </c>
      <c r="AV74" s="67" t="s">
        <v>1222</v>
      </c>
    </row>
    <row r="75" spans="1:49" ht="13.8" thickBot="1" x14ac:dyDescent="0.3">
      <c r="A75" s="847" t="s">
        <v>633</v>
      </c>
      <c r="B75" s="831" t="str">
        <f>IF(OR(FORMULARIO!C147="",FORMULARIO!C150=""),"",(FORMULARIO!C150-FORMULARIO!C147)+1)</f>
        <v/>
      </c>
      <c r="E75" s="866" t="s">
        <v>79</v>
      </c>
      <c r="F75" s="1014" t="str">
        <f>FORMULARIO!C151</f>
        <v/>
      </c>
      <c r="G75" s="1013"/>
      <c r="H75" s="630"/>
      <c r="I75" s="1012" t="str">
        <f>IF(AND(FORMULARIO!F151="SÍ",M15&lt;&gt;""),"SÍ","NO")</f>
        <v>NO</v>
      </c>
      <c r="J75" s="847" t="s">
        <v>633</v>
      </c>
      <c r="K75" s="831" t="str">
        <f>IF(OR(FORMULARIO!C147="",FORMULARIO!C150=""),"",(FORMULARIO!C150-FORMULARIO!C147)+1)</f>
        <v/>
      </c>
      <c r="N75" s="1175" t="s">
        <v>570</v>
      </c>
      <c r="O75" s="908" t="str">
        <f>O23</f>
        <v/>
      </c>
      <c r="P75" s="910" t="str">
        <f>IF(FORMULARIO!F152="","",FORMULARIO!F152)</f>
        <v/>
      </c>
      <c r="Q75" s="934" t="str">
        <f>FORMULARIO!G151</f>
        <v/>
      </c>
      <c r="AC75" s="610"/>
      <c r="AD75" s="994" t="str">
        <f>IF(AD69="","",IFERROR(IF(AN77&lt;&gt;"",0,(IF(AL69="SÍ",0,VLOOKUP(AF67,ANEXO!A210:G409,4,0)))),0))</f>
        <v/>
      </c>
      <c r="AG75" s="994" t="str">
        <f>IF(AD69="","",IFERROR(IF(AN77&lt;&gt;"",0,IF(AL69="SÍ",0,VLOOKUP(AF67,ANEXO!A210:G409,6,0))),0))</f>
        <v/>
      </c>
      <c r="AJ75" s="543" t="str">
        <f>IF(AD69="","",IFERROR(IF(AN77&lt;&gt;"",0,IF(AL69="SÍ",0,(VLOOKUP(AF67,ANEXO!A210:G387,7,0)))),0))</f>
        <v/>
      </c>
      <c r="AL75" s="992" t="str">
        <f>IF(AD69="","",IF(OR(FORMULARIO!B3&lt;&gt;"",FORMULARIO!B4&lt;&gt;"",FORMULARIO!B5&lt;&gt;"",FORMULARIO!B6&lt;&gt;"",FORMULARIO!F9&lt;&gt;"",FORMULARIO!B8&lt;&gt;""),"",AR75))</f>
        <v/>
      </c>
      <c r="AM75" s="635" t="str">
        <f>IF(AD69="","",IFERROR(IF(AN77&lt;&gt;"",0,IF(AL69="SÍ",0,VLOOKUP(AF67,ANEXO!A210:G409,5,0))),0))</f>
        <v/>
      </c>
      <c r="AN75" s="67" t="s">
        <v>615</v>
      </c>
      <c r="AO75" s="543">
        <f>IFERROR(AD74*AD75,0)</f>
        <v>0</v>
      </c>
      <c r="AP75" s="543">
        <f>IFERROR(AG74*AG75,0)</f>
        <v>0</v>
      </c>
      <c r="AQ75" s="543">
        <f>IFERROR(AJ74*AJ75,0)</f>
        <v>0</v>
      </c>
      <c r="AR75" s="543">
        <f>IFERROR(AM74*AM75,0)</f>
        <v>0</v>
      </c>
      <c r="AS75" s="1194">
        <f>IFERROR(AO75+AP75+AQ75+AR75,0)</f>
        <v>0</v>
      </c>
      <c r="AT75" s="1206" t="s">
        <v>615</v>
      </c>
      <c r="AU75" s="1204">
        <f>IFERROR(AD70-AK68,0)</f>
        <v>0</v>
      </c>
      <c r="AV75" s="67" t="s">
        <v>1223</v>
      </c>
    </row>
    <row r="76" spans="1:49" ht="13.8" thickBot="1" x14ac:dyDescent="0.3">
      <c r="A76" s="1465" t="s">
        <v>571</v>
      </c>
      <c r="B76" s="828" t="s">
        <v>572</v>
      </c>
      <c r="C76" s="830">
        <v>0.58333333333333304</v>
      </c>
      <c r="D76" s="830"/>
      <c r="E76" s="835" t="s">
        <v>309</v>
      </c>
      <c r="F76" s="548" t="str">
        <f>IF(ANEXO!B207&lt;&gt;J4,"",IF(AND(ANEXO!B207=J4,B75&gt;1,B74&lt;C76),E76,""))</f>
        <v/>
      </c>
      <c r="G76" s="465"/>
      <c r="H76" s="848">
        <f>IF(B75="",0,IF(F76&lt;&gt;"","1",0))</f>
        <v>0</v>
      </c>
      <c r="J76" s="858" t="s">
        <v>571</v>
      </c>
      <c r="K76" s="828" t="s">
        <v>572</v>
      </c>
      <c r="L76" s="830">
        <f>IF(N74=J1,O1,O3)</f>
        <v>0.58333333333333304</v>
      </c>
      <c r="M76" s="830"/>
      <c r="N76" s="835" t="s">
        <v>309</v>
      </c>
      <c r="O76" s="548" t="str">
        <f>IF(AND(OR(ANEXO!B207=J1,ANEXO!B207=J3),K75&lt;&gt;"",K75&gt;1,K74&lt;L76),N76,IF(AND(ANEXO!B207=J5,K75&gt;1,K74&lt;L7),N76,""))</f>
        <v/>
      </c>
      <c r="P76" s="873">
        <f>IF(K75="",0,IF(O76&lt;&gt;"","1",0))</f>
        <v>0</v>
      </c>
      <c r="Q76" s="192"/>
      <c r="AC76" s="995" t="str">
        <f>IF(AD69="","",IF(AF70="","",IF(AN77&lt;&gt;"",ANEXO!D389,IF(AND(ANEXO!B404=ANEXO!AX3,ANEXO!F406&gt;0),"Según convocatoria del proyecto las dietas en este país extranjero incluyendo alojamiento más manutención son de €/día "&amp;TEXT(ANEXO!D406,"#.###,00 €"),IF(AF70&lt;&gt;"","Según normativa Total dietas en el extranjero desglosado sin pagos a terceros: en manutención "&amp;TEXT((AS75),"#.###,00 €")&amp;" alojamiento "&amp;TEXT(AR73,"#.###,00 €"),"")))))</f>
        <v/>
      </c>
      <c r="AD76" s="620"/>
      <c r="AE76" s="620"/>
      <c r="AF76" s="620"/>
      <c r="AG76" s="620"/>
      <c r="AH76" s="620"/>
      <c r="AI76" s="620"/>
      <c r="AJ76" s="620"/>
      <c r="AK76" s="620"/>
      <c r="AL76" s="996" t="str">
        <f>IF(AD69="","","TOTAL")</f>
        <v/>
      </c>
      <c r="AM76" s="997" t="str">
        <f>IF(AD69="","",AO76)</f>
        <v/>
      </c>
      <c r="AN76" s="581" t="s">
        <v>597</v>
      </c>
      <c r="AO76" s="969" t="str">
        <f>IF(OR(FORMULARIO!B3&lt;&gt;"",FORMULARIO!B4&lt;&gt;"",FORMULARIO!B5&lt;&gt;"",FORMULARIO!B6&lt;&gt;"",FORMULARIO!F9&lt;&gt;""),"",IFERROR(IF(AN77&lt;&gt;"",AT74,AR73+AS75+AR76),0))</f>
        <v/>
      </c>
      <c r="AP76" s="1037">
        <f>IFERROR(AR73+AS75+AR76,0)</f>
        <v>0</v>
      </c>
      <c r="AQ76" s="1025">
        <f>IFERROR(AD74+AG74+AM74+AJ74,0)</f>
        <v>0</v>
      </c>
      <c r="AR76" s="1171">
        <f>ANEXO!F406</f>
        <v>0</v>
      </c>
    </row>
    <row r="77" spans="1:49" ht="13.8" thickBot="1" x14ac:dyDescent="0.3">
      <c r="A77" s="1466"/>
      <c r="B77" s="829" t="s">
        <v>614</v>
      </c>
      <c r="C77" s="830">
        <v>0.58333333333333304</v>
      </c>
      <c r="D77" s="830">
        <v>0.91666666666666696</v>
      </c>
      <c r="E77" s="833" t="s">
        <v>301</v>
      </c>
      <c r="F77" s="836" t="str">
        <f>IF(ANEXO!B207&lt;&gt;J4,"",IF(AND(ANEXO!B207=J4,B75&gt;1,B74&gt;=C77,B74&lt;=D77),E77,""))</f>
        <v/>
      </c>
      <c r="G77" s="837"/>
      <c r="H77" s="848">
        <f>IF(B75="",0,IF(F77&lt;&gt;"","1",0))</f>
        <v>0</v>
      </c>
      <c r="J77" s="859"/>
      <c r="K77" s="829" t="s">
        <v>573</v>
      </c>
      <c r="L77" s="830">
        <f>IF(N74=J1,O1,O3)</f>
        <v>0.58333333333333304</v>
      </c>
      <c r="M77" s="830">
        <v>0.91666666666666696</v>
      </c>
      <c r="N77" s="833" t="s">
        <v>301</v>
      </c>
      <c r="O77" s="836" t="str">
        <f>IF(AND(OR(ANEXO!B207=J1,ANEXO!B207=J3),K75&gt;1,K74&gt;=L77,K74&lt;M77),N77,IF(AND(ANEXO!B207=J5,K74&gt;L7,K74&lt;=L8,K74&lt;M84),N77,""))</f>
        <v/>
      </c>
      <c r="P77" s="873">
        <f>IF(K75="",0,IF(O77&lt;&gt;"","1",0))</f>
        <v>0</v>
      </c>
      <c r="Q77" s="192"/>
      <c r="AL77" s="1451"/>
      <c r="AM77" s="1452"/>
      <c r="AN77" s="964" t="str">
        <f>IF(AND(FORMULARIO!H161&lt;&gt;"",FORMULARIO!H163="SÍ"),ANEXO!D389,"")</f>
        <v/>
      </c>
      <c r="AO77" s="964"/>
      <c r="AP77" s="964"/>
      <c r="AQ77" s="964"/>
      <c r="AR77" s="964"/>
      <c r="AS77" s="964"/>
      <c r="AT77" s="964"/>
      <c r="AU77" s="964"/>
      <c r="AV77" s="964"/>
      <c r="AW77" s="964"/>
    </row>
    <row r="78" spans="1:49" x14ac:dyDescent="0.25">
      <c r="A78" s="1467"/>
      <c r="B78" s="829" t="s">
        <v>574</v>
      </c>
      <c r="C78" s="830">
        <v>0.91666666666666696</v>
      </c>
      <c r="D78" s="830"/>
      <c r="E78" s="829" t="s">
        <v>575</v>
      </c>
      <c r="F78" s="839" t="str">
        <f>IF(ANEXO!B207&lt;&gt;J4,"",IF(AND(ANEXO!B207=J4,B75&gt;1,B74&gt;C78),E78,""))</f>
        <v/>
      </c>
      <c r="G78" s="840"/>
      <c r="H78" s="1015">
        <f>IF(F78&lt;&gt;"",1,0)</f>
        <v>0</v>
      </c>
      <c r="J78" s="860"/>
      <c r="K78" s="829" t="s">
        <v>574</v>
      </c>
      <c r="L78" s="830">
        <v>0.91666666666666696</v>
      </c>
      <c r="M78" s="830"/>
      <c r="N78" s="829" t="s">
        <v>575</v>
      </c>
      <c r="O78" s="839" t="str">
        <f>IF(AND(OR(ANEXO!B207=J1,ANEXO!B207=J3),K75&gt;1,K74&gt;L78),N78,IF(AND(ANEXO!B207=J5,K75&gt;1,K74&gt;L8),N78,""))</f>
        <v/>
      </c>
      <c r="P78" s="873" t="str">
        <f>IF(O78&lt;&gt;"","1","")</f>
        <v/>
      </c>
      <c r="AC78" s="1434" t="str">
        <f>IF(OR(FORMULARIO!B3&lt;&gt;"",FORMULARIO!B4&lt;&gt;"",FORMULARIO!B5&lt;&gt;"",FORMULARIO!B6&lt;&gt;"",FORMULARIO!F9&lt;&gt;"",FORMULARIO!B8&lt;&gt;""),"","LIQUIDACION SIN RENUNCIA A FAVOR DE:"&amp;((AF11)))</f>
        <v/>
      </c>
      <c r="AD78" s="1435"/>
      <c r="AE78" s="1435"/>
      <c r="AF78" s="1435"/>
      <c r="AG78" s="1435"/>
      <c r="AH78" s="1435"/>
      <c r="AI78" s="1435"/>
      <c r="AJ78" s="1435"/>
      <c r="AK78" s="1436"/>
      <c r="AL78" s="1463">
        <f>IFERROR(SUM(AO76+AO65+AO54+AO42+AO31+AO21+AN17),0)</f>
        <v>0</v>
      </c>
      <c r="AM78" s="1362"/>
      <c r="AN78" s="921">
        <f>IFERROR(AP76+AP65+AP54+AP42+AP31+AN17+AO21,0)</f>
        <v>0</v>
      </c>
      <c r="AO78" s="165" t="s">
        <v>634</v>
      </c>
      <c r="AP78" s="951">
        <f>IFERROR(SUM(AR30+AR41+AS52+AS63+AS75),0)</f>
        <v>0</v>
      </c>
      <c r="AQ78" s="165" t="s">
        <v>632</v>
      </c>
      <c r="AR78" s="951">
        <f>IFERROR(SUM(AR28+AR39+AR51+AR61+AR73),0)</f>
        <v>0</v>
      </c>
      <c r="AS78" s="581" t="s">
        <v>635</v>
      </c>
      <c r="AT78" s="951">
        <f>AN17</f>
        <v>0</v>
      </c>
      <c r="AU78" s="1432" t="str">
        <f>AP21</f>
        <v>Inscripcion + otros gastos</v>
      </c>
      <c r="AV78" s="1433"/>
      <c r="AW78" s="951">
        <f>AO21</f>
        <v>0</v>
      </c>
    </row>
    <row r="79" spans="1:49" x14ac:dyDescent="0.25">
      <c r="A79" s="610"/>
      <c r="H79" s="611"/>
      <c r="J79" s="610"/>
      <c r="P79" s="876"/>
      <c r="AC79" s="610"/>
      <c r="AH79" s="1457" t="str">
        <f>IF(OR(FORMULARIO!B3&lt;&gt;"",FORMULARIO!B4&lt;&gt;"",FORMULARIO!B5&lt;&gt;"",FORMULARIO!B6&lt;&gt;"",FORMULARIO!F9&lt;&gt;"",FORMULARIO!B8&lt;&gt;""),"","Pagos a favor de Terceros :")</f>
        <v/>
      </c>
      <c r="AI79" s="1457"/>
      <c r="AJ79" s="1457"/>
      <c r="AK79" s="1457"/>
      <c r="AL79" s="1453" t="str">
        <f>IFERROR(AN79,0)</f>
        <v/>
      </c>
      <c r="AM79" s="1454"/>
      <c r="AN79" s="931" t="str">
        <f>IFERROR(IF(OR(FORMULARIO!B3&lt;&gt;"",FORMULARIO!B4&lt;&gt;"",FORMULARIO!B5&lt;&gt;"",FORMULARIO!B6&lt;&gt;"",FORMULARIO!F9&lt;&gt;"",FORMULARIO!B8&lt;&gt;""),"",AN69+AN58+AN46+AN36+AN29+AN19+AN18),0)</f>
        <v/>
      </c>
    </row>
    <row r="80" spans="1:49" x14ac:dyDescent="0.25">
      <c r="A80" s="849" t="s">
        <v>576</v>
      </c>
      <c r="B80" s="832"/>
      <c r="C80" s="471"/>
      <c r="D80" s="465"/>
      <c r="E80" s="835" t="s">
        <v>309</v>
      </c>
      <c r="F80" s="548" t="str">
        <f>IF(AND(ANEXO!B207=J4,B75&gt;1),E80,"")</f>
        <v/>
      </c>
      <c r="G80" s="465"/>
      <c r="H80" s="889">
        <f>IFERROR(IF(B75="",0,IF(F80="",0,B75-2)),0)</f>
        <v>0</v>
      </c>
      <c r="J80" s="849" t="s">
        <v>576</v>
      </c>
      <c r="K80" s="832"/>
      <c r="L80" s="471"/>
      <c r="M80" s="465"/>
      <c r="N80" s="835" t="s">
        <v>309</v>
      </c>
      <c r="O80" s="548" t="str">
        <f>IF(AND(OR(ANEXO!B207=J1,ANEXO!B207=J3,ANEXO!B207=J5),K75&gt;1),N80,"")</f>
        <v/>
      </c>
      <c r="P80" s="872">
        <f>IFERROR(IF(K75="",0,K75-2),0)</f>
        <v>0</v>
      </c>
      <c r="Q80" s="874"/>
      <c r="AC80" s="984" t="str">
        <f>IF(OR(FORMULARIO!B3&lt;&gt;"",FORMULARIO!B4&lt;&gt;"",FORMULARIO!B5&lt;&gt;"",FORMULARIO!B6&lt;&gt;"",FORMULARIO!F9&lt;&gt;"",FORMULARIO!B8&lt;&gt;"",FORMULARIO!B8&lt;&gt;""),"",FORMULARIO!B10)</f>
        <v/>
      </c>
      <c r="AD80" s="976"/>
      <c r="AE80" s="976" t="str">
        <f>IF(OR(FORMULARIO!B3&lt;&gt;"",FORMULARIO!B4&lt;&gt;"",FORMULARIO!B5&lt;&gt;"",FORMULARIO!B6&lt;&gt;"",FORMULARIO!F9&lt;&gt;"",FORMULARIO!B8&lt;&gt;""),"",FORMULARIO!E10)</f>
        <v/>
      </c>
      <c r="AG80" s="3"/>
      <c r="AH80" s="1339" t="str">
        <f>IF(OR(FORMULARIO!B3&lt;&gt;"",FORMULARIO!B4&lt;&gt;"",FORMULARIO!B5&lt;&gt;"",FORMULARIO!B6&lt;&gt;"",FORMULARIO!F9&lt;&gt;"",FORMULARIO!B8&lt;&gt;""),"","EL  GASTO  TOTAL DE  ESTE  VIAJE  ASCIENDE  A:")</f>
        <v/>
      </c>
      <c r="AI80" s="1339"/>
      <c r="AJ80" s="1339"/>
      <c r="AK80" s="1460"/>
      <c r="AL80" s="1455" t="str">
        <f>IF(OR(FORMULARIO!B3&lt;&gt;"",FORMULARIO!B4&lt;&gt;"",FORMULARIO!B5&lt;&gt;"",FORMULARIO!B6&lt;&gt;"",FORMULARIO!F9&lt;&gt;"",FORMULARIO!B8&lt;&gt;""),"",AN80)</f>
        <v/>
      </c>
      <c r="AM80" s="1456"/>
      <c r="AN80" s="543">
        <f>IFERROR(AN79+AN81,0)</f>
        <v>0</v>
      </c>
      <c r="AO80" s="543">
        <f>AN80</f>
        <v>0</v>
      </c>
    </row>
    <row r="81" spans="1:40" ht="13.8" x14ac:dyDescent="0.25">
      <c r="A81" s="610"/>
      <c r="H81" s="611"/>
      <c r="J81" s="610"/>
      <c r="P81" s="876"/>
      <c r="AC81" s="1484" t="str">
        <f>IF(OR(FORMULARIO!B3&lt;&gt;"",FORMULARIO!B4&lt;&gt;"",FORMULARIO!B5&lt;&gt;"",FORMULARIO!B6&lt;&gt;"",FORMULARIO!F9&lt;&gt;"",FORMULARIO!B8&lt;&gt;""),"",IF(AE80="NO","Desglose a mi favor:  Manutención "&amp;TEXT((AP78),"#.###,00 €")&amp;" Alojamiento "&amp;TEXT(AR78,"#.###,00 €")&amp;" Inscripción "&amp;TEXT(AF21,"#.###,00 €")&amp;" Locomoción "&amp;TEXT(AT78,"#.###,00 €")&amp;" Otros gastos "&amp;TEXT(AM21,"#.###,00 €"),IF(AE80="SÍ","A cobrar tras presentar la renuncia. Manutención "&amp;TEXT((Renuncia!G48),"#.###,00 €")&amp;" Alojamiento "&amp;TEXT(Renuncia!G49,"#.###,00 €")&amp;" Inscripción "&amp;TEXT(Renuncia!G51,"#.###,00 €")&amp;" Locomoción "&amp;TEXT(Renuncia!G50,"#.###,00 €")&amp;" Otros gastos "&amp;TEXT(Renuncia!G52,"#.###,00 €")&amp;"        TOTAL:")))</f>
        <v/>
      </c>
      <c r="AD81" s="1485"/>
      <c r="AE81" s="1485"/>
      <c r="AF81" s="1485"/>
      <c r="AG81" s="1485"/>
      <c r="AH81" s="1485"/>
      <c r="AI81" s="1485"/>
      <c r="AJ81" s="1485"/>
      <c r="AK81" s="1486"/>
      <c r="AL81" s="1461" t="str">
        <f>IF(AE80="SÍ",Renuncia!G47,"")</f>
        <v/>
      </c>
      <c r="AM81" s="1462"/>
      <c r="AN81" s="1199">
        <f>IFERROR(AO76+AO65+AO54+AO42+AO31+AO21+AN17,0)</f>
        <v>0</v>
      </c>
    </row>
    <row r="82" spans="1:40" x14ac:dyDescent="0.25">
      <c r="A82" s="1468" t="s">
        <v>577</v>
      </c>
      <c r="B82" s="829"/>
      <c r="C82" s="830"/>
      <c r="D82" s="581"/>
      <c r="E82" s="828"/>
      <c r="F82" s="548"/>
      <c r="G82" s="834"/>
      <c r="H82" s="848"/>
      <c r="J82" s="861" t="s">
        <v>577</v>
      </c>
      <c r="K82" s="829" t="s">
        <v>578</v>
      </c>
      <c r="L82" s="830">
        <f>IF(N74=J1,P1,P3)</f>
        <v>0.625</v>
      </c>
      <c r="M82" s="581"/>
      <c r="N82" s="828" t="s">
        <v>575</v>
      </c>
      <c r="O82" s="548" t="str">
        <f>IF(AND(OR(ANEXO!B207=J1,ANEXO!B207=J3,ANEXO!B207=J5),L74&lt;L7),E72,"")</f>
        <v/>
      </c>
      <c r="P82" s="873"/>
      <c r="Q82" s="192"/>
      <c r="AC82" s="610"/>
      <c r="AL82" s="543"/>
      <c r="AM82" s="611"/>
    </row>
    <row r="83" spans="1:40" ht="13.8" thickBot="1" x14ac:dyDescent="0.3">
      <c r="A83" s="1469"/>
      <c r="B83" s="829" t="s">
        <v>599</v>
      </c>
      <c r="C83" s="841">
        <v>0.58333333333333304</v>
      </c>
      <c r="D83" s="842">
        <v>0.91666666666666696</v>
      </c>
      <c r="E83" s="165" t="s">
        <v>301</v>
      </c>
      <c r="F83" s="548" t="str">
        <f>IF(AND(ANEXO!B207=J4,B75&gt;1,C74&gt;C83,C74&lt;=D83),E83,"")</f>
        <v/>
      </c>
      <c r="G83" s="834"/>
      <c r="H83" s="848">
        <f>IF(B75="",0,IF(F83&lt;&gt;"","1",0))</f>
        <v>0</v>
      </c>
      <c r="J83" s="862"/>
      <c r="K83" s="829" t="s">
        <v>579</v>
      </c>
      <c r="L83" s="841">
        <f>IF(N74=J1,P1,P3)</f>
        <v>0.625</v>
      </c>
      <c r="M83" s="841">
        <v>0.91666666666666696</v>
      </c>
      <c r="N83" s="165" t="s">
        <v>301</v>
      </c>
      <c r="O83" s="548" t="str">
        <f>IF(AND(OR(ANEXO!B207=J1,ANEXO!B207=J3),L74&gt;L83,L74&lt;=M83),N83,IF(AND(ANEXO!B207=J5,K75&gt;1,L74&gt;L7,L74&lt;=L8),N83,""))</f>
        <v/>
      </c>
      <c r="P83" s="873">
        <f>IF(K75="",0,IF(FORMULARIO!G151&lt;&gt;"",0,IF(O83&lt;&gt;"","1",0)))</f>
        <v>0</v>
      </c>
      <c r="Q83" s="925">
        <f>IF(O23&lt;&gt;"",1,0)</f>
        <v>0</v>
      </c>
      <c r="AC83" s="972"/>
      <c r="AG83" s="487" t="str">
        <f>AF11</f>
        <v/>
      </c>
      <c r="AH83" s="487"/>
      <c r="AI83" s="487"/>
      <c r="AJ83" s="487"/>
      <c r="AK83" s="487"/>
      <c r="AM83" s="611"/>
    </row>
    <row r="84" spans="1:40" ht="13.8" thickBot="1" x14ac:dyDescent="0.3">
      <c r="A84" s="1470"/>
      <c r="B84" s="851" t="s">
        <v>574</v>
      </c>
      <c r="C84" s="852">
        <v>0.91666666666666696</v>
      </c>
      <c r="D84" s="842">
        <v>1</v>
      </c>
      <c r="E84" s="851" t="s">
        <v>602</v>
      </c>
      <c r="F84" s="853" t="str">
        <f>IF(AND(ANEXO!B207=J4,B75&gt;1,C74&gt;C84,I75="SÍ"),E84,IF(AND(ANEXO!B207=J4,B75&gt;1,C74&gt;C84,I75="NO"),E83,""))</f>
        <v/>
      </c>
      <c r="G84" s="854"/>
      <c r="H84" s="855">
        <f>IF(B75="",0,IF(F84&lt;&gt;"","1",0))</f>
        <v>0</v>
      </c>
      <c r="J84" s="862"/>
      <c r="K84" s="883" t="s">
        <v>574</v>
      </c>
      <c r="L84" s="884">
        <v>0.91666666666666696</v>
      </c>
      <c r="M84" s="841">
        <v>1</v>
      </c>
      <c r="N84" s="883" t="s">
        <v>581</v>
      </c>
      <c r="O84" s="886" t="str">
        <f>IF(L74&gt;=M84,"",IF(AND(OR(ANEXO!B207=J1,ANEXO!B207=J3),L74&gt;L84),N84,IF(AND(ANEXO!B207=J5,L74&gt;L8,L74&lt;M84),N76,"")))</f>
        <v/>
      </c>
      <c r="P84" s="1118">
        <f>IF(AND(Q83=0,L74&gt;L84,L74&lt;M84),1,0)</f>
        <v>0</v>
      </c>
      <c r="Q84" s="1115">
        <f>IF(O84=N76,1,0)</f>
        <v>0</v>
      </c>
      <c r="AC84" s="610" t="str">
        <f>IF(AG10=AN10,"ESTA LIQUIDACIÓN TIENEN QUE FIRMARLA ELECTRÓNICAMENTE EL I.P. Y EL TITULAR DE LA LIQUIDACIÓN",IF(AG10=AN11,"ESTA LIQUIDACIÓN SOLO TIENE QUE SER FIRMARLA POR EL I.P. (POR PORTAFIRMAS U.S)",""))</f>
        <v/>
      </c>
      <c r="AM84" s="611"/>
    </row>
    <row r="85" spans="1:40" ht="13.8" thickBot="1" x14ac:dyDescent="0.3">
      <c r="A85" s="496" t="s">
        <v>309</v>
      </c>
      <c r="B85" s="880">
        <f>H76+H80+F85</f>
        <v>0</v>
      </c>
      <c r="C85" s="496" t="s">
        <v>631</v>
      </c>
      <c r="D85" s="496">
        <f>IF(I75="NO",H77+H83+H84,H77+H83)</f>
        <v>0</v>
      </c>
      <c r="F85" s="882">
        <f>IF(I75="SÍ",1,0)</f>
        <v>0</v>
      </c>
      <c r="J85" s="895" t="s">
        <v>309</v>
      </c>
      <c r="K85" s="901">
        <f>IFERROR(P76+P80+Q84,"")</f>
        <v>0</v>
      </c>
      <c r="L85" s="897" t="s">
        <v>631</v>
      </c>
      <c r="M85" s="899">
        <f>P77+P83</f>
        <v>0</v>
      </c>
      <c r="N85" s="897" t="s">
        <v>581</v>
      </c>
      <c r="O85" s="899">
        <f>IF(Q83="1",0,P84)</f>
        <v>0</v>
      </c>
      <c r="P85" s="902"/>
      <c r="AC85" s="1497" t="str">
        <f>IF(OR(FORMULARIO!B3&lt;&gt;"",FORMULARIO!B4&lt;&gt;"",FORMULARIO!B5&lt;&gt;"",FORMULARIO!B6&lt;&gt;"",FORMULARIO!F9&lt;&gt;"",FORMULARIO!B8&lt;&gt;""),"","En caso de proyectos europeos MSCA, se establece un importe mensual con un límite mínimo y un máximo. El mínimo se abonará siempre, con independencia de que los gastos justificados en la liquidación alcancen o no dicha cuantía.")</f>
        <v/>
      </c>
      <c r="AD85" s="1498"/>
      <c r="AE85" s="1498"/>
      <c r="AF85" s="1498"/>
      <c r="AG85" s="1498"/>
      <c r="AH85" s="1498"/>
      <c r="AI85" s="1498"/>
      <c r="AJ85" s="1498"/>
      <c r="AK85" s="1498"/>
      <c r="AL85" s="1498"/>
      <c r="AM85" s="1499"/>
    </row>
    <row r="86" spans="1:40" x14ac:dyDescent="0.25">
      <c r="A86" s="843" t="s">
        <v>567</v>
      </c>
      <c r="B86" s="844">
        <f>FORMULARIO!F164</f>
        <v>0</v>
      </c>
      <c r="C86" s="845">
        <f>FORMULARIO!F167</f>
        <v>0</v>
      </c>
      <c r="D86" s="844"/>
      <c r="E86" s="846" t="str">
        <f>AF2</f>
        <v/>
      </c>
      <c r="F86" s="617"/>
      <c r="G86" s="617"/>
      <c r="H86" s="618"/>
      <c r="J86" s="843" t="s">
        <v>567</v>
      </c>
      <c r="K86" s="844">
        <f>FORMULARIO!F164</f>
        <v>0</v>
      </c>
      <c r="L86" s="845">
        <f>FORMULARIO!F167</f>
        <v>0</v>
      </c>
      <c r="M86" s="844"/>
      <c r="N86" s="846" t="str">
        <f>AF2</f>
        <v/>
      </c>
      <c r="O86" s="617"/>
      <c r="P86" s="618"/>
      <c r="AC86" s="1497"/>
      <c r="AD86" s="1498"/>
      <c r="AE86" s="1498"/>
      <c r="AF86" s="1498"/>
      <c r="AG86" s="1498"/>
      <c r="AH86" s="1498"/>
      <c r="AI86" s="1498"/>
      <c r="AJ86" s="1498"/>
      <c r="AK86" s="1498"/>
      <c r="AL86" s="1498"/>
      <c r="AM86" s="1499"/>
    </row>
    <row r="87" spans="1:40" x14ac:dyDescent="0.25">
      <c r="A87" s="847" t="s">
        <v>636</v>
      </c>
      <c r="B87" s="831" t="str">
        <f>IF(OR(FORMULARIO!C164="",FORMULARIO!C167=""),"",(FORMULARIO!C167-FORMULARIO!C164)+1)</f>
        <v/>
      </c>
      <c r="E87" s="866" t="s">
        <v>79</v>
      </c>
      <c r="F87" s="927" t="str">
        <f>FORMULARIO!C170</f>
        <v/>
      </c>
      <c r="H87" s="630"/>
      <c r="I87" s="192" t="str">
        <f>IF(AND(FORMULARIO!F170="SÍ",M16&lt;&gt;""),"SÍ","NO")</f>
        <v>NO</v>
      </c>
      <c r="J87" s="847" t="s">
        <v>636</v>
      </c>
      <c r="K87" s="831" t="str">
        <f>IF(OR(FORMULARIO!C164="",FORMULARIO!C167=""),"",(FORMULARIO!C167-FORMULARIO!C164)+1)</f>
        <v/>
      </c>
      <c r="N87" s="1175" t="s">
        <v>570</v>
      </c>
      <c r="O87" s="908" t="str">
        <f>O24</f>
        <v/>
      </c>
      <c r="P87" s="909" t="str">
        <f>IF(FORMULARIO!F169="","",FORMULARIO!F169)</f>
        <v/>
      </c>
      <c r="Q87" t="str">
        <f>FORMULARIO!G168</f>
        <v/>
      </c>
      <c r="AC87" s="610"/>
      <c r="AF87" s="970" t="str">
        <f>IF(OR(FORMULARIO!B3&lt;&gt;"",FORMULARIO!B4&lt;&gt;"",FORMULARIO!B5&lt;&gt;"",FORMULARIO!B6&lt;&gt;"",FORMULARIO!F9&lt;&gt;"",FORMULARIO!B8&lt;&gt;""),"","En Sevila a")</f>
        <v/>
      </c>
      <c r="AG87" s="1450" t="str">
        <f>IF(OR(FORMULARIO!B3&lt;&gt;"",FORMULARIO!B4&lt;&gt;"",FORMULARIO!B5&lt;&gt;"",FORMULARIO!B6&lt;&gt;"",FORMULARIO!F9&lt;&gt;"",FORMULARIO!B8&lt;&gt;""),"",FORMULARIO!D9)</f>
        <v/>
      </c>
      <c r="AH87" s="1450"/>
      <c r="AI87" s="1450"/>
      <c r="AJ87" s="1450"/>
      <c r="AK87" s="1450"/>
      <c r="AL87" s="1450"/>
      <c r="AM87" s="611"/>
    </row>
    <row r="88" spans="1:40" ht="13.2" customHeight="1" thickBot="1" x14ac:dyDescent="0.3">
      <c r="A88" s="1465" t="s">
        <v>571</v>
      </c>
      <c r="B88" s="828" t="s">
        <v>572</v>
      </c>
      <c r="C88" s="830">
        <v>0.58333333333333304</v>
      </c>
      <c r="D88" s="830"/>
      <c r="E88" s="835" t="s">
        <v>309</v>
      </c>
      <c r="F88" s="548" t="str">
        <f>IF(AND(ANEXO!B207=J4,B87&gt;1,B86&lt;C88),E88,"")</f>
        <v/>
      </c>
      <c r="G88" s="465"/>
      <c r="H88" s="848">
        <f>IF(B87="",0,IF(F88&lt;&gt;"","1",0))</f>
        <v>0</v>
      </c>
      <c r="J88" s="858" t="s">
        <v>571</v>
      </c>
      <c r="K88" s="828" t="s">
        <v>572</v>
      </c>
      <c r="L88" s="830">
        <f>IF(N86=J1,O1,O3)</f>
        <v>0.58333333333333304</v>
      </c>
      <c r="M88" s="830"/>
      <c r="N88" s="835" t="s">
        <v>309</v>
      </c>
      <c r="O88" s="548" t="str">
        <f>IF(AND(OR(ANEXO!B207=J1,ANEXO!B207=J3),K87&lt;&gt;"",K87&gt;1,K86&lt;L88),N88,IF(AND(ANEXO!B207=J5,K87&gt;1,K86&lt;L7),N88,""))</f>
        <v/>
      </c>
      <c r="P88" s="892">
        <f>IF(K87="",0,IF(O88&lt;&gt;"","1",0))</f>
        <v>0</v>
      </c>
      <c r="AC88" s="922"/>
      <c r="AD88" s="923"/>
      <c r="AE88" s="923"/>
      <c r="AF88" s="923"/>
      <c r="AG88" s="923"/>
      <c r="AH88" s="923"/>
      <c r="AI88" s="923"/>
      <c r="AJ88" s="923"/>
      <c r="AK88" s="923"/>
      <c r="AL88" s="923"/>
      <c r="AM88" s="924"/>
    </row>
    <row r="89" spans="1:40" ht="13.2" customHeight="1" x14ac:dyDescent="0.25">
      <c r="A89" s="1466"/>
      <c r="B89" s="829" t="s">
        <v>614</v>
      </c>
      <c r="C89" s="830">
        <v>0.58333333333333304</v>
      </c>
      <c r="D89" s="830">
        <v>0.91666666666666696</v>
      </c>
      <c r="E89" s="833" t="s">
        <v>301</v>
      </c>
      <c r="F89" s="836" t="str">
        <f>IF(AND(ANEXO!B207=J4,B87&gt;1,B86&gt;=C89,B86&lt;=D89),E89,"")</f>
        <v/>
      </c>
      <c r="G89" s="837"/>
      <c r="H89" s="848">
        <f>IF(B87="",0,IF(F89&lt;&gt;"","1",0))</f>
        <v>0</v>
      </c>
      <c r="J89" s="859"/>
      <c r="K89" s="829" t="s">
        <v>573</v>
      </c>
      <c r="L89" s="830">
        <f>IF(N86=J1,O1,O3)</f>
        <v>0.58333333333333304</v>
      </c>
      <c r="M89" s="830">
        <v>0.91666666666666696</v>
      </c>
      <c r="N89" s="833" t="s">
        <v>301</v>
      </c>
      <c r="O89" s="836" t="str">
        <f>IF(AND(OR(ANEXO!B207=J1,ANEXO!B207=J3),K87&gt;1,K86&gt;=L89,K86&lt;M89),N89,IF(AND(ANEXO!B207=J5,K87&gt;1,K86&gt;=L7,K86&lt;L8),N89,""))</f>
        <v/>
      </c>
      <c r="P89" s="892">
        <f>IF(K87="",0,IF(O89&lt;&gt;"","1",0))</f>
        <v>0</v>
      </c>
      <c r="AC89" s="1446" t="s">
        <v>637</v>
      </c>
      <c r="AD89" s="1447"/>
      <c r="AE89" s="1447"/>
      <c r="AF89" s="1447"/>
      <c r="AG89" s="1447"/>
      <c r="AH89" s="1447"/>
      <c r="AI89" s="1447"/>
      <c r="AJ89" s="1447"/>
      <c r="AK89" s="1447"/>
      <c r="AL89" s="1447"/>
      <c r="AM89" s="1448"/>
    </row>
    <row r="90" spans="1:40" ht="13.2" customHeight="1" x14ac:dyDescent="0.25">
      <c r="A90" s="1467"/>
      <c r="B90" s="829" t="s">
        <v>574</v>
      </c>
      <c r="C90" s="830">
        <v>0.91666666666666696</v>
      </c>
      <c r="D90" s="830"/>
      <c r="E90" s="829" t="s">
        <v>575</v>
      </c>
      <c r="F90" s="836" t="str">
        <f>IF(AND(ANEXO!B207=J4,B87&gt;1,B86&gt;C90),E90,"")</f>
        <v/>
      </c>
      <c r="G90" s="840"/>
      <c r="H90" s="629"/>
      <c r="J90" s="860"/>
      <c r="K90" s="829" t="s">
        <v>574</v>
      </c>
      <c r="L90" s="830">
        <v>0.91666666666666696</v>
      </c>
      <c r="M90" s="830"/>
      <c r="N90" s="829" t="s">
        <v>575</v>
      </c>
      <c r="O90" s="839" t="str">
        <f>IF(AND(OR(ANEXO!B207=J1,ANEXO!B207=J3),K87&gt;1,K86&gt;L90),N90,IF(AND(ANEXO!B207=J5,K87&gt;1,K86&gt;L8),N90,""))</f>
        <v/>
      </c>
      <c r="P90" s="892"/>
      <c r="AC90" s="1446"/>
      <c r="AD90" s="1447"/>
      <c r="AE90" s="1447"/>
      <c r="AF90" s="1447"/>
      <c r="AG90" s="1447"/>
      <c r="AH90" s="1447"/>
      <c r="AI90" s="1447"/>
      <c r="AJ90" s="1447"/>
      <c r="AK90" s="1447"/>
      <c r="AL90" s="1447"/>
      <c r="AM90" s="1448"/>
    </row>
    <row r="91" spans="1:40" x14ac:dyDescent="0.25">
      <c r="A91" s="610"/>
      <c r="H91" s="611"/>
      <c r="J91" s="610"/>
      <c r="P91" s="893"/>
      <c r="AC91" s="1446"/>
      <c r="AD91" s="1447"/>
      <c r="AE91" s="1447"/>
      <c r="AF91" s="1447"/>
      <c r="AG91" s="1447"/>
      <c r="AH91" s="1447"/>
      <c r="AI91" s="1447"/>
      <c r="AJ91" s="1447"/>
      <c r="AK91" s="1447"/>
      <c r="AL91" s="1447"/>
      <c r="AM91" s="1448"/>
    </row>
    <row r="92" spans="1:40" x14ac:dyDescent="0.25">
      <c r="A92" s="849" t="s">
        <v>576</v>
      </c>
      <c r="B92" s="832"/>
      <c r="C92" s="471"/>
      <c r="D92" s="465"/>
      <c r="E92" s="835" t="s">
        <v>309</v>
      </c>
      <c r="F92" s="548" t="str">
        <f>IF(AND(ANEXO!B207=J4,B87&gt;1),E92,"")</f>
        <v/>
      </c>
      <c r="G92" s="465"/>
      <c r="H92" s="850">
        <f>IF(B87="",0,IF(F92="",0,B87-2))</f>
        <v>0</v>
      </c>
      <c r="J92" s="849" t="s">
        <v>576</v>
      </c>
      <c r="K92" s="832"/>
      <c r="L92" s="471"/>
      <c r="M92" s="465"/>
      <c r="N92" s="835" t="s">
        <v>309</v>
      </c>
      <c r="O92" s="548" t="str">
        <f>IF(AND(OR(N86=J1,N86=J3),K87&gt;1),N92,"")</f>
        <v/>
      </c>
      <c r="P92" s="850">
        <f>IFERROR(IF(K87="",0,K87-2),0)</f>
        <v>0</v>
      </c>
      <c r="AC92" s="920" t="s">
        <v>638</v>
      </c>
      <c r="AD92" s="487"/>
      <c r="AE92" s="487"/>
      <c r="AF92" s="487"/>
      <c r="AG92" s="487"/>
      <c r="AH92" s="487"/>
      <c r="AI92" s="487"/>
      <c r="AJ92" s="487"/>
      <c r="AK92" s="487"/>
      <c r="AL92" s="487"/>
      <c r="AM92" s="278"/>
    </row>
    <row r="93" spans="1:40" x14ac:dyDescent="0.25">
      <c r="A93" s="610"/>
      <c r="H93" s="611"/>
      <c r="J93" s="610"/>
      <c r="P93" s="893"/>
    </row>
    <row r="94" spans="1:40" ht="13.2" customHeight="1" x14ac:dyDescent="0.25">
      <c r="A94" s="1468" t="s">
        <v>577</v>
      </c>
      <c r="B94" s="829"/>
      <c r="C94" s="830"/>
      <c r="D94" s="581"/>
      <c r="E94" s="828"/>
      <c r="F94" s="548"/>
      <c r="G94" s="834"/>
      <c r="H94" s="848"/>
      <c r="J94" s="861" t="s">
        <v>577</v>
      </c>
      <c r="K94" s="829" t="s">
        <v>578</v>
      </c>
      <c r="L94" s="830">
        <f>IF(N86=J1,P1,P3)</f>
        <v>0.625</v>
      </c>
      <c r="M94" s="581"/>
      <c r="N94" s="828" t="s">
        <v>575</v>
      </c>
      <c r="O94" s="548" t="str">
        <f>IF(AND(OR(N86=J1,N86=J3,N86=J5),L86&lt;L94),N94,"")</f>
        <v/>
      </c>
      <c r="P94" s="892"/>
      <c r="AC94" s="1439" t="str">
        <f>FORMULARIO!B3</f>
        <v>Escriba la fecha de la solicitud en D9 y siga las instrucciones</v>
      </c>
      <c r="AD94" s="1440"/>
      <c r="AE94" s="1440"/>
      <c r="AF94" s="1440"/>
      <c r="AG94" s="1440"/>
      <c r="AH94" s="1440"/>
      <c r="AI94" s="1440"/>
      <c r="AJ94" s="1440"/>
      <c r="AK94" s="1440"/>
      <c r="AL94" s="1441"/>
      <c r="AM94" s="1503" t="s">
        <v>639</v>
      </c>
      <c r="AN94" s="1504"/>
    </row>
    <row r="95" spans="1:40" ht="13.2" customHeight="1" x14ac:dyDescent="0.25">
      <c r="A95" s="1469"/>
      <c r="B95" s="829" t="s">
        <v>617</v>
      </c>
      <c r="C95" s="841">
        <v>0.58333333333333304</v>
      </c>
      <c r="D95" s="842">
        <v>0.91666666666666696</v>
      </c>
      <c r="E95" s="165" t="s">
        <v>301</v>
      </c>
      <c r="F95" s="548" t="str">
        <f>IF(AND(ANEXO!B207=J4,B87&gt;1,C86&gt;=C95,C86&lt;=D95),E95,"")</f>
        <v/>
      </c>
      <c r="G95" s="834"/>
      <c r="H95" s="848">
        <f>IF(B87="",0,IF(F95&lt;&gt;"","1",0))</f>
        <v>0</v>
      </c>
      <c r="I95" s="1438" t="str">
        <f>IF(AND(B87&gt;1,C86&gt;D95,B86&lt;&gt;"",C86&lt;&gt;"",AF2=J4),"¿Aporta factura de cena de día de regreso?","")</f>
        <v/>
      </c>
      <c r="J95" s="862"/>
      <c r="K95" s="829" t="s">
        <v>579</v>
      </c>
      <c r="L95" s="841">
        <f>IF(N86=J1,P1,P3)</f>
        <v>0.625</v>
      </c>
      <c r="M95" s="841">
        <v>0.91666666666666696</v>
      </c>
      <c r="N95" s="165" t="s">
        <v>301</v>
      </c>
      <c r="O95" s="548" t="str">
        <f>IF(AND(OR(N86=J1,N86=J3),L86&gt;L95,L86&lt;=M95),N95,IF(AND(N86=J5,L86&gt;L7,L86&lt;=L8,),N95,""))</f>
        <v/>
      </c>
      <c r="P95" s="892">
        <f>IF(K87="",0,IF(FORMULARIO!G168&lt;&gt;"",0,IF(O95&lt;&gt;"","1",0)))</f>
        <v>0</v>
      </c>
      <c r="Q95" s="925">
        <f>IF(O24&lt;&gt;"",1,0)</f>
        <v>0</v>
      </c>
      <c r="AC95" s="1442" t="str">
        <f>FORMULARIO!B4</f>
        <v/>
      </c>
      <c r="AD95" s="1443"/>
      <c r="AE95" s="1443"/>
      <c r="AF95" s="1443"/>
      <c r="AG95" s="1443"/>
      <c r="AH95" s="1443"/>
      <c r="AI95" s="1443"/>
      <c r="AJ95" s="1443"/>
      <c r="AK95" s="1443"/>
      <c r="AL95" s="1444"/>
      <c r="AM95" s="1505"/>
      <c r="AN95" s="1506"/>
    </row>
    <row r="96" spans="1:40" ht="13.95" customHeight="1" thickBot="1" x14ac:dyDescent="0.3">
      <c r="A96" s="1469"/>
      <c r="B96" s="883" t="s">
        <v>574</v>
      </c>
      <c r="C96" s="884">
        <v>0.91666666666666696</v>
      </c>
      <c r="D96" s="842">
        <v>1</v>
      </c>
      <c r="E96" s="883" t="s">
        <v>602</v>
      </c>
      <c r="F96" s="1492" t="str">
        <f>IF(AND(ANEXO!B207=J4,B87&gt;1,C86&gt;D95,I87="SÍ"),E96,IF(AND(ANEXO!B207=J4,B87&gt;1,C86&gt;D95,I87="NO"),E95,""))</f>
        <v/>
      </c>
      <c r="G96" s="1493"/>
      <c r="H96" s="888">
        <f>IF(C86=D96,0,IF(AND(C86&gt;D95,I87="NO"),1,0))</f>
        <v>0</v>
      </c>
      <c r="I96" s="1438"/>
      <c r="J96" s="862"/>
      <c r="K96" s="883" t="s">
        <v>574</v>
      </c>
      <c r="L96" s="884">
        <v>0.91666666666666696</v>
      </c>
      <c r="M96" s="841">
        <v>1</v>
      </c>
      <c r="N96" s="891" t="s">
        <v>581</v>
      </c>
      <c r="O96" s="886" t="str">
        <f>IF(L86&gt;=M96,"",IF(AND(OR(N86=J1,N86=J3),L86&gt;L96,L86&lt;M96,Q95&lt;&gt;"1"),N96,IF(AND(N86=J5,L86&gt;L8,L86&lt;M96),N96,"")))</f>
        <v/>
      </c>
      <c r="P96" s="894"/>
      <c r="AC96" s="1509" t="str">
        <f>FORMULARIO!B5&amp;FORMULARIO!B8</f>
        <v/>
      </c>
      <c r="AD96" s="1510"/>
      <c r="AE96" s="1510"/>
      <c r="AF96" s="1510"/>
      <c r="AG96" s="1510"/>
      <c r="AH96" s="1510"/>
      <c r="AI96" s="1510"/>
      <c r="AJ96" s="1510"/>
      <c r="AK96" s="1510"/>
      <c r="AL96" s="1511"/>
      <c r="AM96" s="1505"/>
      <c r="AN96" s="1506"/>
    </row>
    <row r="97" spans="1:40" ht="13.95" customHeight="1" thickBot="1" x14ac:dyDescent="0.3">
      <c r="A97" s="903" t="s">
        <v>309</v>
      </c>
      <c r="B97" s="896">
        <f>H88+H92+F97</f>
        <v>0</v>
      </c>
      <c r="C97" s="899" t="s">
        <v>631</v>
      </c>
      <c r="D97" s="899">
        <f>IF(I87="NO",H89+H95+H96,H89+E99)</f>
        <v>0</v>
      </c>
      <c r="E97" s="904"/>
      <c r="F97" s="1501">
        <f>IF(C86=D96,0,IF(AND(C86&gt;D95,I87="SÍ"),1,0))</f>
        <v>0</v>
      </c>
      <c r="G97" s="1502"/>
      <c r="H97" s="1026"/>
      <c r="J97" s="895" t="s">
        <v>309</v>
      </c>
      <c r="K97" s="896">
        <f>IFERROR(P88+P92,"")</f>
        <v>0</v>
      </c>
      <c r="L97" s="897" t="s">
        <v>631</v>
      </c>
      <c r="M97" s="898">
        <f>P89+P95</f>
        <v>0</v>
      </c>
      <c r="N97" s="897" t="s">
        <v>581</v>
      </c>
      <c r="O97" s="899">
        <f>IF(Q95="1",0,P96)</f>
        <v>0</v>
      </c>
      <c r="P97" s="900"/>
      <c r="AC97" s="1512" t="str">
        <f>FORMULARIO!B6</f>
        <v/>
      </c>
      <c r="AD97" s="1513"/>
      <c r="AE97" s="1513"/>
      <c r="AF97" s="1513"/>
      <c r="AG97" s="1513"/>
      <c r="AH97" s="1513"/>
      <c r="AI97" s="1513"/>
      <c r="AJ97" s="1513"/>
      <c r="AK97" s="1513"/>
      <c r="AL97" s="1514"/>
      <c r="AM97" s="1505"/>
      <c r="AN97" s="1506"/>
    </row>
    <row r="98" spans="1:40" x14ac:dyDescent="0.25">
      <c r="D98">
        <f>IF(I87="N",H89+H95+H96,F97)</f>
        <v>0</v>
      </c>
      <c r="AC98" s="1512" t="str">
        <f>FORMULARIO!F9</f>
        <v/>
      </c>
      <c r="AD98" s="1513"/>
      <c r="AE98" s="1513"/>
      <c r="AF98" s="1513"/>
      <c r="AG98" s="1513"/>
      <c r="AH98" s="1513"/>
      <c r="AI98" s="1513"/>
      <c r="AJ98" s="1513"/>
      <c r="AK98" s="1513"/>
      <c r="AL98" s="1514"/>
      <c r="AM98" s="1505"/>
      <c r="AN98" s="1506"/>
    </row>
    <row r="99" spans="1:40" ht="13.95" customHeight="1" thickBot="1" x14ac:dyDescent="0.3">
      <c r="AC99" s="1515" t="str">
        <f>IF(OR(AC94&lt;&gt;"",AC95&lt;&gt;"",AC96&lt;&gt;"",AC97&lt;&gt;"",AC98&lt;&gt;""),"LA LIQUIDACIÓN PRESENTA ERRORES, POR FAVOR, REVISE EL FORMULARIO Y EL CUADRO DE AVISO PARA VERIFICAR LOS DATOS PENDIENTES DE COMPLETAR","")</f>
        <v>LA LIQUIDACIÓN PRESENTA ERRORES, POR FAVOR, REVISE EL FORMULARIO Y EL CUADRO DE AVISO PARA VERIFICAR LOS DATOS PENDIENTES DE COMPLETAR</v>
      </c>
      <c r="AD99" s="1516"/>
      <c r="AE99" s="1516"/>
      <c r="AF99" s="1516"/>
      <c r="AG99" s="1516"/>
      <c r="AH99" s="1516"/>
      <c r="AI99" s="1516"/>
      <c r="AJ99" s="1516"/>
      <c r="AK99" s="1516"/>
      <c r="AL99" s="1517"/>
      <c r="AM99" s="1505"/>
      <c r="AN99" s="1506"/>
    </row>
    <row r="100" spans="1:40" x14ac:dyDescent="0.25">
      <c r="A100" s="1104" t="s">
        <v>567</v>
      </c>
      <c r="B100" s="844">
        <f>FORMULARIO!F54</f>
        <v>0</v>
      </c>
      <c r="C100" s="845">
        <f>FORMULARIO!F57</f>
        <v>0</v>
      </c>
      <c r="D100" s="844"/>
      <c r="E100" s="1086" t="str">
        <f>AF2</f>
        <v/>
      </c>
      <c r="F100" s="617"/>
      <c r="G100" s="617"/>
      <c r="H100" s="618"/>
      <c r="I100" s="1116" t="str">
        <f>ANEXO!B207</f>
        <v>BORRADOR</v>
      </c>
      <c r="AC100" s="1515"/>
      <c r="AD100" s="1516"/>
      <c r="AE100" s="1516"/>
      <c r="AF100" s="1516"/>
      <c r="AG100" s="1516"/>
      <c r="AH100" s="1516"/>
      <c r="AI100" s="1516"/>
      <c r="AJ100" s="1516"/>
      <c r="AK100" s="1516"/>
      <c r="AL100" s="1517"/>
      <c r="AM100" s="1505"/>
      <c r="AN100" s="1506"/>
    </row>
    <row r="101" spans="1:40" x14ac:dyDescent="0.25">
      <c r="A101" s="1105" t="s">
        <v>569</v>
      </c>
      <c r="B101" s="831" t="str">
        <f>IF(OR(FORMULARIO!C54="",FORMULARIO!C57=""),"",(FORMULARIO!C57-FORMULARIO!C54)+1)</f>
        <v/>
      </c>
      <c r="E101" s="1175" t="s">
        <v>570</v>
      </c>
      <c r="F101" s="192" t="str">
        <f>FORMULARIO!G53</f>
        <v/>
      </c>
      <c r="H101" s="611"/>
      <c r="I101" s="192" t="str">
        <f>FORMULARIO!G54</f>
        <v>Elija la Opción    ▼</v>
      </c>
      <c r="AC101" s="1002"/>
      <c r="AD101" s="1003"/>
      <c r="AE101" s="1003"/>
      <c r="AF101" s="1003"/>
      <c r="AG101" s="1003"/>
      <c r="AH101" s="1003"/>
      <c r="AI101" s="1003"/>
      <c r="AJ101" s="1003"/>
      <c r="AK101" s="1003"/>
      <c r="AL101" s="1004"/>
      <c r="AM101" s="1507"/>
      <c r="AN101" s="1508"/>
    </row>
    <row r="102" spans="1:40" x14ac:dyDescent="0.25">
      <c r="A102" s="1465" t="s">
        <v>571</v>
      </c>
      <c r="B102" s="1087" t="s">
        <v>578</v>
      </c>
      <c r="C102" s="830">
        <v>0.625</v>
      </c>
      <c r="D102" s="830"/>
      <c r="E102" s="1107" t="s">
        <v>309</v>
      </c>
      <c r="F102" s="838" t="str">
        <f>IF(AND(ANEXO!B207=J5,B101&gt;1,B100&lt;L7),E102,"")</f>
        <v/>
      </c>
      <c r="G102" s="465"/>
      <c r="H102" s="848">
        <f>IF(B101="",0,IF(F102&lt;&gt;"","1",0))</f>
        <v>0</v>
      </c>
      <c r="I102" s="1488"/>
    </row>
    <row r="103" spans="1:40" x14ac:dyDescent="0.25">
      <c r="A103" s="1466"/>
      <c r="B103" s="1087" t="s">
        <v>640</v>
      </c>
      <c r="C103" s="830">
        <v>0.64583333333333304</v>
      </c>
      <c r="D103" s="830">
        <v>0.875</v>
      </c>
      <c r="E103" s="833" t="s">
        <v>301</v>
      </c>
      <c r="F103" s="836" t="str">
        <f>IF(AND(ANEXO!B207=J5,B101&gt;1,B100&gt;L7,B100&lt;L8,B100&lt;D104),E103,IF(AND(ANEXO!B207=J5,B101=1,B100&lt;L7,C100&lt;L8),E103,""))</f>
        <v/>
      </c>
      <c r="G103" s="837"/>
      <c r="H103" s="848">
        <f>IF(B101="",0,IF(F103&lt;&gt;"","1",0))</f>
        <v>0</v>
      </c>
      <c r="I103" s="1488"/>
    </row>
    <row r="104" spans="1:40" x14ac:dyDescent="0.25">
      <c r="A104" s="1467"/>
      <c r="B104" s="1087" t="s">
        <v>641</v>
      </c>
      <c r="C104" s="830">
        <v>0.875</v>
      </c>
      <c r="D104" s="830">
        <v>1</v>
      </c>
      <c r="E104" s="829" t="s">
        <v>575</v>
      </c>
      <c r="F104" s="839" t="str">
        <f>IF(AND(ANEXO!B207=J5,B101&gt;1,B100&gt;C104,B100&lt;D104),E104,"")</f>
        <v/>
      </c>
      <c r="G104" s="840"/>
      <c r="H104" s="629"/>
      <c r="I104" s="1488"/>
    </row>
    <row r="105" spans="1:40" x14ac:dyDescent="0.25">
      <c r="A105" s="610"/>
      <c r="B105" s="1088"/>
      <c r="H105" s="611"/>
    </row>
    <row r="106" spans="1:40" x14ac:dyDescent="0.25">
      <c r="A106" s="849" t="s">
        <v>576</v>
      </c>
      <c r="B106" s="1089"/>
      <c r="C106" s="471"/>
      <c r="D106" s="465"/>
      <c r="E106" s="835" t="s">
        <v>309</v>
      </c>
      <c r="F106" s="548" t="str">
        <f>IF(AND(ANEXO!B207=J5,B101&gt;1),E106,"")</f>
        <v/>
      </c>
      <c r="G106" s="465"/>
      <c r="H106" s="850">
        <f>IF(B101="",0,IF(F106="",0,B101-2))</f>
        <v>0</v>
      </c>
    </row>
    <row r="107" spans="1:40" x14ac:dyDescent="0.25">
      <c r="A107" s="610"/>
      <c r="B107" s="1088"/>
      <c r="H107" s="611"/>
    </row>
    <row r="108" spans="1:40" x14ac:dyDescent="0.25">
      <c r="A108" s="1468" t="s">
        <v>577</v>
      </c>
      <c r="B108" s="1087" t="s">
        <v>578</v>
      </c>
      <c r="C108" s="830">
        <v>0.625</v>
      </c>
      <c r="D108" s="581"/>
      <c r="E108" s="828" t="s">
        <v>575</v>
      </c>
      <c r="F108" s="548" t="str">
        <f>IF(AND(ANEXO!B207=J5,B101&gt;1,C100&lt;C108),E108,"")</f>
        <v/>
      </c>
      <c r="G108" s="834"/>
      <c r="H108" s="848"/>
    </row>
    <row r="109" spans="1:40" x14ac:dyDescent="0.25">
      <c r="A109" s="1469"/>
      <c r="B109" s="1087" t="s">
        <v>642</v>
      </c>
      <c r="C109" s="841">
        <v>0.625</v>
      </c>
      <c r="D109" s="841">
        <v>0.875</v>
      </c>
      <c r="E109" s="165" t="s">
        <v>301</v>
      </c>
      <c r="F109" s="548" t="str">
        <f>IF(AND(ANEXO!B207=J5,B101&gt;1,C100&gt;L7,C100&lt;=L8),E109,IF(AND(ANEXO!B207=J5,B101=1,B100&gt;L7,C100&gt;L8,C100&lt;D110),E109,""))</f>
        <v/>
      </c>
      <c r="G109" s="834"/>
      <c r="H109" s="848">
        <f>IF(B101="",0,IF(F109&lt;&gt;"","1",0))</f>
        <v>0</v>
      </c>
    </row>
    <row r="110" spans="1:40" x14ac:dyDescent="0.25">
      <c r="A110" s="1469"/>
      <c r="B110" s="1090" t="s">
        <v>641</v>
      </c>
      <c r="C110" s="884">
        <v>0.875</v>
      </c>
      <c r="D110" s="884">
        <v>1</v>
      </c>
      <c r="E110" s="1108" t="s">
        <v>581</v>
      </c>
      <c r="F110" s="1106" t="str">
        <f>IF(AND(ANEXO!B207=J5,B101&gt;1,C100&gt;D109,C100&lt;D110),E102,IF(AND(ANEXO!B207=J5,B101=1,B100&lt;L7,C100&gt;L8,C100&lt;D110),E110,""))</f>
        <v/>
      </c>
      <c r="G110" s="887"/>
      <c r="H110" s="888">
        <f>IF(B101="",0,IF(F110&lt;&gt;"","1",0))</f>
        <v>0</v>
      </c>
      <c r="AL110" s="1"/>
    </row>
    <row r="111" spans="1:40" ht="13.8" thickBot="1" x14ac:dyDescent="0.3">
      <c r="A111" s="1091" t="s">
        <v>309</v>
      </c>
      <c r="B111" s="1114">
        <f>IFERROR(H102+H106+B112,"")</f>
        <v>0</v>
      </c>
      <c r="C111" s="1500" t="s">
        <v>581</v>
      </c>
      <c r="D111" s="1500"/>
      <c r="E111" s="1500"/>
      <c r="F111" s="770">
        <f>IFERROR(H110,"")</f>
        <v>0</v>
      </c>
      <c r="G111" s="770" t="s">
        <v>301</v>
      </c>
      <c r="H111" s="779">
        <f>IFERROR(H103+H109,"")</f>
        <v>0</v>
      </c>
    </row>
    <row r="112" spans="1:40" ht="13.8" thickBot="1" x14ac:dyDescent="0.3">
      <c r="B112" s="1115">
        <f>IF(F110=E102,1,0)</f>
        <v>0</v>
      </c>
    </row>
  </sheetData>
  <sheetProtection algorithmName="SHA-512" hashValue="1Rxij/SdbT2MTQgmROv+RhSs92R7w9mF6RDSztlg/v9gQy8qcVgOfXfnxtBuIruCrvkUbKrTwoaFKuO+QC5P/A==" saltValue="CaSJeZo58swQlKVAIFANUQ==" spinCount="100000" sheet="1" selectLockedCells="1"/>
  <mergeCells count="77">
    <mergeCell ref="AC85:AM86"/>
    <mergeCell ref="A102:A104"/>
    <mergeCell ref="I102:I104"/>
    <mergeCell ref="A108:A110"/>
    <mergeCell ref="C111:E111"/>
    <mergeCell ref="F97:G97"/>
    <mergeCell ref="A88:A90"/>
    <mergeCell ref="A94:A96"/>
    <mergeCell ref="AM94:AN101"/>
    <mergeCell ref="AC96:AL96"/>
    <mergeCell ref="AC97:AL97"/>
    <mergeCell ref="AC98:AL98"/>
    <mergeCell ref="AC99:AL100"/>
    <mergeCell ref="K15:L15"/>
    <mergeCell ref="K16:L16"/>
    <mergeCell ref="F23:G23"/>
    <mergeCell ref="F24:G24"/>
    <mergeCell ref="F96:G96"/>
    <mergeCell ref="J64:J66"/>
    <mergeCell ref="J70:J72"/>
    <mergeCell ref="K22:L22"/>
    <mergeCell ref="K23:L23"/>
    <mergeCell ref="K24:L24"/>
    <mergeCell ref="AE10:AF10"/>
    <mergeCell ref="I3:I5"/>
    <mergeCell ref="A15:A17"/>
    <mergeCell ref="A21:A23"/>
    <mergeCell ref="A51:A53"/>
    <mergeCell ref="A45:A47"/>
    <mergeCell ref="A27:A29"/>
    <mergeCell ref="A33:A35"/>
    <mergeCell ref="A39:A41"/>
    <mergeCell ref="A3:A5"/>
    <mergeCell ref="A9:A11"/>
    <mergeCell ref="AC34:AG34"/>
    <mergeCell ref="AF45:AG45"/>
    <mergeCell ref="K12:L12"/>
    <mergeCell ref="K13:L13"/>
    <mergeCell ref="K14:L14"/>
    <mergeCell ref="C12:E12"/>
    <mergeCell ref="A76:A78"/>
    <mergeCell ref="A82:A84"/>
    <mergeCell ref="A57:A60"/>
    <mergeCell ref="AK18:AL19"/>
    <mergeCell ref="AK23:AL23"/>
    <mergeCell ref="AK24:AL24"/>
    <mergeCell ref="AJ28:AK28"/>
    <mergeCell ref="AC20:AM20"/>
    <mergeCell ref="AC23:AG23"/>
    <mergeCell ref="AH23:AJ23"/>
    <mergeCell ref="AK34:AL34"/>
    <mergeCell ref="AK35:AL35"/>
    <mergeCell ref="AC81:AK81"/>
    <mergeCell ref="AC56:AE56"/>
    <mergeCell ref="AC67:AE67"/>
    <mergeCell ref="AL80:AM80"/>
    <mergeCell ref="AH79:AK79"/>
    <mergeCell ref="AC45:AE45"/>
    <mergeCell ref="AH80:AK80"/>
    <mergeCell ref="AL81:AM81"/>
    <mergeCell ref="AL78:AM78"/>
    <mergeCell ref="AP21:AQ21"/>
    <mergeCell ref="AU78:AV78"/>
    <mergeCell ref="AC78:AK78"/>
    <mergeCell ref="AK17:AL17"/>
    <mergeCell ref="I95:I96"/>
    <mergeCell ref="AC94:AL94"/>
    <mergeCell ref="AC95:AL95"/>
    <mergeCell ref="AJ39:AK39"/>
    <mergeCell ref="AJ50:AK50"/>
    <mergeCell ref="AJ61:AK61"/>
    <mergeCell ref="AJ72:AK72"/>
    <mergeCell ref="AC89:AM91"/>
    <mergeCell ref="AF56:AG56"/>
    <mergeCell ref="AG87:AL87"/>
    <mergeCell ref="AL77:AM77"/>
    <mergeCell ref="AL79:AM79"/>
  </mergeCells>
  <conditionalFormatting sqref="AC23">
    <cfRule type="expression" dxfId="258" priority="27">
      <formula>$AC$23=""</formula>
    </cfRule>
  </conditionalFormatting>
  <conditionalFormatting sqref="AC28">
    <cfRule type="expression" dxfId="257" priority="24">
      <formula>$AC$28=""</formula>
    </cfRule>
  </conditionalFormatting>
  <conditionalFormatting sqref="AC45">
    <cfRule type="expression" dxfId="256" priority="92">
      <formula>$AC$45=""</formula>
    </cfRule>
  </conditionalFormatting>
  <conditionalFormatting sqref="AC50">
    <cfRule type="expression" dxfId="255" priority="83">
      <formula>$AC$50=""</formula>
    </cfRule>
  </conditionalFormatting>
  <conditionalFormatting sqref="AC56">
    <cfRule type="expression" dxfId="254" priority="68">
      <formula>$AC$56=""</formula>
    </cfRule>
  </conditionalFormatting>
  <conditionalFormatting sqref="AC61">
    <cfRule type="expression" dxfId="253" priority="60">
      <formula>$AC$61=""</formula>
    </cfRule>
  </conditionalFormatting>
  <conditionalFormatting sqref="AC67">
    <cfRule type="expression" dxfId="252" priority="47">
      <formula>$AC$67=""</formula>
    </cfRule>
  </conditionalFormatting>
  <conditionalFormatting sqref="AC72">
    <cfRule type="expression" dxfId="251" priority="45">
      <formula>$AC$72=""</formula>
    </cfRule>
  </conditionalFormatting>
  <conditionalFormatting sqref="AC94">
    <cfRule type="expression" dxfId="250" priority="132">
      <formula>$CR$181&lt;&gt;""</formula>
    </cfRule>
  </conditionalFormatting>
  <conditionalFormatting sqref="AC95">
    <cfRule type="expression" dxfId="249" priority="131">
      <formula>$CR$182&lt;&gt;""</formula>
    </cfRule>
  </conditionalFormatting>
  <conditionalFormatting sqref="AC39:AE39">
    <cfRule type="expression" dxfId="248" priority="106">
      <formula>$AD$36=""</formula>
    </cfRule>
  </conditionalFormatting>
  <conditionalFormatting sqref="AC34:AG34">
    <cfRule type="expression" dxfId="247" priority="105">
      <formula>$AD$36=""</formula>
    </cfRule>
  </conditionalFormatting>
  <conditionalFormatting sqref="AD25">
    <cfRule type="expression" dxfId="246" priority="26">
      <formula>$AD$25=""</formula>
    </cfRule>
  </conditionalFormatting>
  <conditionalFormatting sqref="AD25:AD26">
    <cfRule type="expression" dxfId="245" priority="128">
      <formula>$AC$23=""</formula>
    </cfRule>
  </conditionalFormatting>
  <conditionalFormatting sqref="AD26">
    <cfRule type="expression" dxfId="244" priority="25">
      <formula>$AD$26=""</formula>
    </cfRule>
  </conditionalFormatting>
  <conditionalFormatting sqref="AD28">
    <cfRule type="expression" dxfId="243" priority="22">
      <formula>$AD$28=""</formula>
    </cfRule>
  </conditionalFormatting>
  <conditionalFormatting sqref="AD30">
    <cfRule type="expression" dxfId="242" priority="14">
      <formula>$AD$30=""</formula>
    </cfRule>
  </conditionalFormatting>
  <conditionalFormatting sqref="AD36:AD37">
    <cfRule type="expression" dxfId="241" priority="126">
      <formula>$AC$34=""</formula>
    </cfRule>
    <cfRule type="expression" dxfId="240" priority="101">
      <formula>$AD$36=""</formula>
    </cfRule>
  </conditionalFormatting>
  <conditionalFormatting sqref="AD41">
    <cfRule type="expression" dxfId="239" priority="100">
      <formula>$AD$41=""</formula>
    </cfRule>
  </conditionalFormatting>
  <conditionalFormatting sqref="AD47">
    <cfRule type="expression" dxfId="238" priority="87">
      <formula>$AD$47=""</formula>
    </cfRule>
  </conditionalFormatting>
  <conditionalFormatting sqref="AD47:AD48">
    <cfRule type="expression" dxfId="237" priority="124">
      <formula>$AC$45=""</formula>
    </cfRule>
  </conditionalFormatting>
  <conditionalFormatting sqref="AD48">
    <cfRule type="expression" dxfId="236" priority="86">
      <formula>$AD$48=""</formula>
    </cfRule>
  </conditionalFormatting>
  <conditionalFormatting sqref="AD50">
    <cfRule type="expression" dxfId="235" priority="82">
      <formula>$AD$50=""</formula>
    </cfRule>
  </conditionalFormatting>
  <conditionalFormatting sqref="AD52">
    <cfRule type="expression" dxfId="234" priority="73">
      <formula>$AD$52=""</formula>
    </cfRule>
  </conditionalFormatting>
  <conditionalFormatting sqref="AD58">
    <cfRule type="expression" dxfId="233" priority="64">
      <formula>$AD$58=""</formula>
    </cfRule>
  </conditionalFormatting>
  <conditionalFormatting sqref="AD58:AD59">
    <cfRule type="expression" dxfId="232" priority="122">
      <formula>$AC$56=""</formula>
    </cfRule>
  </conditionalFormatting>
  <conditionalFormatting sqref="AD59">
    <cfRule type="expression" dxfId="231" priority="63">
      <formula>$AD$59=""</formula>
    </cfRule>
  </conditionalFormatting>
  <conditionalFormatting sqref="AD61">
    <cfRule type="expression" dxfId="230" priority="59">
      <formula>$AD$61=""</formula>
    </cfRule>
  </conditionalFormatting>
  <conditionalFormatting sqref="AD63">
    <cfRule type="expression" dxfId="229" priority="50">
      <formula>$AD$63=""</formula>
    </cfRule>
  </conditionalFormatting>
  <conditionalFormatting sqref="AD69">
    <cfRule type="expression" dxfId="228" priority="42">
      <formula>$AD$69=""</formula>
    </cfRule>
  </conditionalFormatting>
  <conditionalFormatting sqref="AD69:AD70">
    <cfRule type="expression" dxfId="227" priority="120">
      <formula>$AC$67=""</formula>
    </cfRule>
  </conditionalFormatting>
  <conditionalFormatting sqref="AD70">
    <cfRule type="expression" dxfId="226" priority="41">
      <formula>$AD$70=""</formula>
    </cfRule>
  </conditionalFormatting>
  <conditionalFormatting sqref="AD72">
    <cfRule type="expression" dxfId="225" priority="44">
      <formula>$AD$72=""</formula>
    </cfRule>
  </conditionalFormatting>
  <conditionalFormatting sqref="AD74">
    <cfRule type="expression" dxfId="224" priority="33">
      <formula>$AD$74=""</formula>
    </cfRule>
  </conditionalFormatting>
  <conditionalFormatting sqref="AE10">
    <cfRule type="expression" dxfId="223" priority="133">
      <formula>$B$11=$K$11</formula>
    </cfRule>
  </conditionalFormatting>
  <conditionalFormatting sqref="AE28">
    <cfRule type="expression" dxfId="222" priority="21">
      <formula>$AE$28=""</formula>
    </cfRule>
  </conditionalFormatting>
  <conditionalFormatting sqref="AE50">
    <cfRule type="expression" dxfId="221" priority="81">
      <formula>$AE$50=""</formula>
    </cfRule>
  </conditionalFormatting>
  <conditionalFormatting sqref="AE61">
    <cfRule type="expression" dxfId="220" priority="58">
      <formula>$AE$61=""</formula>
    </cfRule>
  </conditionalFormatting>
  <conditionalFormatting sqref="AE72">
    <cfRule type="expression" dxfId="219" priority="43">
      <formula>$AE$72=""</formula>
    </cfRule>
  </conditionalFormatting>
  <conditionalFormatting sqref="AF26">
    <cfRule type="expression" dxfId="218" priority="23">
      <formula>$AF$26=""</formula>
    </cfRule>
  </conditionalFormatting>
  <conditionalFormatting sqref="AF37">
    <cfRule type="expression" dxfId="217" priority="103">
      <formula>$AC$34=""</formula>
    </cfRule>
  </conditionalFormatting>
  <conditionalFormatting sqref="AF48">
    <cfRule type="expression" dxfId="216" priority="84">
      <formula>$AF$48=""</formula>
    </cfRule>
    <cfRule type="expression" dxfId="215" priority="110">
      <formula>$AN$55&lt;&gt;""</formula>
    </cfRule>
  </conditionalFormatting>
  <conditionalFormatting sqref="AF59">
    <cfRule type="expression" dxfId="214" priority="62">
      <formula>$AF$59=""</formula>
    </cfRule>
  </conditionalFormatting>
  <conditionalFormatting sqref="AF70">
    <cfRule type="expression" dxfId="213" priority="40">
      <formula>$AF$70=""</formula>
    </cfRule>
  </conditionalFormatting>
  <conditionalFormatting sqref="AF45:AG45">
    <cfRule type="expression" dxfId="212" priority="88">
      <formula>$AF$45=""</formula>
    </cfRule>
  </conditionalFormatting>
  <conditionalFormatting sqref="AF56:AG56">
    <cfRule type="expression" dxfId="211" priority="65">
      <formula>$AF$56=""</formula>
    </cfRule>
  </conditionalFormatting>
  <conditionalFormatting sqref="AF67:AG67">
    <cfRule type="expression" dxfId="210" priority="46">
      <formula>$AF$67</formula>
    </cfRule>
  </conditionalFormatting>
  <conditionalFormatting sqref="AF2:AH2">
    <cfRule type="expression" dxfId="209" priority="119">
      <formula>$AC$7=""</formula>
    </cfRule>
  </conditionalFormatting>
  <conditionalFormatting sqref="AG28">
    <cfRule type="expression" dxfId="208" priority="20">
      <formula>$AG$28=""</formula>
    </cfRule>
  </conditionalFormatting>
  <conditionalFormatting sqref="AG29">
    <cfRule type="expression" dxfId="207" priority="19">
      <formula>$AG$29=""</formula>
    </cfRule>
  </conditionalFormatting>
  <conditionalFormatting sqref="AG30">
    <cfRule type="expression" dxfId="206" priority="13">
      <formula>$AG$30=""</formula>
    </cfRule>
  </conditionalFormatting>
  <conditionalFormatting sqref="AG39">
    <cfRule type="expression" dxfId="205" priority="94">
      <formula>$AG$39=""</formula>
    </cfRule>
  </conditionalFormatting>
  <conditionalFormatting sqref="AG40">
    <cfRule type="expression" dxfId="204" priority="93">
      <formula>$AG$40=""</formula>
    </cfRule>
  </conditionalFormatting>
  <conditionalFormatting sqref="AG41">
    <cfRule type="expression" dxfId="203" priority="99">
      <formula>$AG$41=""</formula>
    </cfRule>
  </conditionalFormatting>
  <conditionalFormatting sqref="AG50">
    <cfRule type="expression" dxfId="202" priority="80">
      <formula>$AG$50=""</formula>
    </cfRule>
  </conditionalFormatting>
  <conditionalFormatting sqref="AG51">
    <cfRule type="expression" dxfId="201" priority="79">
      <formula>$AG$51=""</formula>
    </cfRule>
  </conditionalFormatting>
  <conditionalFormatting sqref="AG52">
    <cfRule type="expression" dxfId="200" priority="78">
      <formula>$AG$52=""</formula>
    </cfRule>
  </conditionalFormatting>
  <conditionalFormatting sqref="AG61">
    <cfRule type="expression" dxfId="199" priority="56">
      <formula>$AG$61=""</formula>
    </cfRule>
  </conditionalFormatting>
  <conditionalFormatting sqref="AG62">
    <cfRule type="expression" dxfId="198" priority="55">
      <formula>$AG$62=""</formula>
    </cfRule>
  </conditionalFormatting>
  <conditionalFormatting sqref="AG63 AJ63 AM63">
    <cfRule type="expression" dxfId="197" priority="49">
      <formula>$AD$63=""</formula>
    </cfRule>
  </conditionalFormatting>
  <conditionalFormatting sqref="AG72">
    <cfRule type="expression" dxfId="196" priority="35">
      <formula>$AG$72=""</formula>
    </cfRule>
  </conditionalFormatting>
  <conditionalFormatting sqref="AG73">
    <cfRule type="expression" dxfId="195" priority="34">
      <formula>$AG$73=""</formula>
    </cfRule>
  </conditionalFormatting>
  <conditionalFormatting sqref="AG74">
    <cfRule type="expression" dxfId="194" priority="32">
      <formula>$AG$74=""</formula>
    </cfRule>
  </conditionalFormatting>
  <conditionalFormatting sqref="AH28">
    <cfRule type="expression" dxfId="193" priority="18">
      <formula>$AH$28=""</formula>
    </cfRule>
  </conditionalFormatting>
  <conditionalFormatting sqref="AH39">
    <cfRule type="expression" dxfId="192" priority="102">
      <formula>$AH$39=""</formula>
    </cfRule>
  </conditionalFormatting>
  <conditionalFormatting sqref="AH50">
    <cfRule type="expression" dxfId="191" priority="77">
      <formula>$AH$50=""</formula>
    </cfRule>
  </conditionalFormatting>
  <conditionalFormatting sqref="AH61">
    <cfRule type="expression" dxfId="190" priority="54">
      <formula>$AH$61=""</formula>
    </cfRule>
  </conditionalFormatting>
  <conditionalFormatting sqref="AI6:AM6">
    <cfRule type="expression" dxfId="189" priority="118">
      <formula>$AC$7=""</formula>
    </cfRule>
  </conditionalFormatting>
  <conditionalFormatting sqref="AJ52">
    <cfRule type="expression" dxfId="188" priority="72">
      <formula>$AJ$52=""</formula>
    </cfRule>
  </conditionalFormatting>
  <conditionalFormatting sqref="AJ74">
    <cfRule type="expression" dxfId="187" priority="31">
      <formula>$AJ$74=""</formula>
    </cfRule>
  </conditionalFormatting>
  <conditionalFormatting sqref="AJ28:AK28">
    <cfRule type="expression" dxfId="186" priority="17">
      <formula>$AJ$28=""</formula>
    </cfRule>
  </conditionalFormatting>
  <conditionalFormatting sqref="AJ50:AK50">
    <cfRule type="expression" dxfId="185" priority="76">
      <formula>$AJ$50=""</formula>
    </cfRule>
  </conditionalFormatting>
  <conditionalFormatting sqref="AJ61:AK61">
    <cfRule type="expression" dxfId="184" priority="53">
      <formula>$AJ$61=""</formula>
    </cfRule>
  </conditionalFormatting>
  <conditionalFormatting sqref="AJ72:AK72">
    <cfRule type="expression" dxfId="183" priority="38">
      <formula>$AJ$72=""</formula>
    </cfRule>
  </conditionalFormatting>
  <conditionalFormatting sqref="AJ39:AM39">
    <cfRule type="expression" dxfId="182" priority="107">
      <formula>$AC$34=""</formula>
    </cfRule>
  </conditionalFormatting>
  <conditionalFormatting sqref="AK30">
    <cfRule type="expression" dxfId="181" priority="12">
      <formula>$AK$30=""</formula>
    </cfRule>
  </conditionalFormatting>
  <conditionalFormatting sqref="AK36">
    <cfRule type="expression" dxfId="180" priority="117">
      <formula>$AC$34=""</formula>
    </cfRule>
  </conditionalFormatting>
  <conditionalFormatting sqref="AK41">
    <cfRule type="expression" dxfId="179" priority="98">
      <formula>$AK$41=""</formula>
    </cfRule>
  </conditionalFormatting>
  <conditionalFormatting sqref="AK45:AK46">
    <cfRule type="expression" dxfId="178" priority="5">
      <formula>$AN$55&lt;&gt;""</formula>
    </cfRule>
  </conditionalFormatting>
  <conditionalFormatting sqref="AK56:AK57">
    <cfRule type="expression" dxfId="177" priority="3">
      <formula>$AN$66&lt;&gt;""</formula>
    </cfRule>
  </conditionalFormatting>
  <conditionalFormatting sqref="AK67:AK68">
    <cfRule type="expression" dxfId="176" priority="1">
      <formula>$AN$77&lt;&gt;""</formula>
    </cfRule>
  </conditionalFormatting>
  <conditionalFormatting sqref="AK23:AL24">
    <cfRule type="expression" dxfId="175" priority="8">
      <formula>$AN$32&lt;&gt;""</formula>
    </cfRule>
  </conditionalFormatting>
  <conditionalFormatting sqref="AL28">
    <cfRule type="expression" dxfId="174" priority="16">
      <formula>$AL$28=""</formula>
    </cfRule>
  </conditionalFormatting>
  <conditionalFormatting sqref="AL32">
    <cfRule type="expression" dxfId="173" priority="11">
      <formula>$AL$32=""</formula>
    </cfRule>
  </conditionalFormatting>
  <conditionalFormatting sqref="AL43">
    <cfRule type="expression" dxfId="172" priority="97">
      <formula>$AL$43=""</formula>
    </cfRule>
  </conditionalFormatting>
  <conditionalFormatting sqref="AL47">
    <cfRule type="expression" dxfId="171" priority="85">
      <formula>$AL$47=""</formula>
    </cfRule>
    <cfRule type="expression" dxfId="170" priority="113">
      <formula>$AC$45=""</formula>
    </cfRule>
  </conditionalFormatting>
  <conditionalFormatting sqref="AL50">
    <cfRule type="expression" dxfId="169" priority="75">
      <formula>$AL$50=""</formula>
    </cfRule>
  </conditionalFormatting>
  <conditionalFormatting sqref="AL54">
    <cfRule type="expression" dxfId="168" priority="70">
      <formula>$AL$54=""</formula>
    </cfRule>
  </conditionalFormatting>
  <conditionalFormatting sqref="AL58">
    <cfRule type="expression" dxfId="167" priority="114">
      <formula>$AC$56=""</formula>
    </cfRule>
    <cfRule type="expression" dxfId="166" priority="61">
      <formula>$AL$58=""</formula>
    </cfRule>
  </conditionalFormatting>
  <conditionalFormatting sqref="AL61">
    <cfRule type="expression" dxfId="165" priority="52">
      <formula>$AL$61=""</formula>
    </cfRule>
  </conditionalFormatting>
  <conditionalFormatting sqref="AL69">
    <cfRule type="expression" dxfId="164" priority="39">
      <formula>$AL$69=""</formula>
    </cfRule>
    <cfRule type="expression" dxfId="163" priority="115">
      <formula>$AC$67=""</formula>
    </cfRule>
  </conditionalFormatting>
  <conditionalFormatting sqref="AL72">
    <cfRule type="expression" dxfId="162" priority="37">
      <formula>$AL$72=""</formula>
    </cfRule>
  </conditionalFormatting>
  <conditionalFormatting sqref="AL76">
    <cfRule type="expression" dxfId="161" priority="29">
      <formula>$AL$76=""</formula>
    </cfRule>
  </conditionalFormatting>
  <conditionalFormatting sqref="AL65:AM65">
    <cfRule type="expression" dxfId="160" priority="48">
      <formula>$AL$65=""</formula>
    </cfRule>
  </conditionalFormatting>
  <conditionalFormatting sqref="AL78:AM78">
    <cfRule type="expression" dxfId="159" priority="109">
      <formula>$AG$83=""</formula>
    </cfRule>
  </conditionalFormatting>
  <conditionalFormatting sqref="AM28">
    <cfRule type="expression" dxfId="158" priority="15">
      <formula>$AM$28=""</formula>
    </cfRule>
  </conditionalFormatting>
  <conditionalFormatting sqref="AM32">
    <cfRule type="expression" dxfId="157" priority="10">
      <formula>$AM$32=""</formula>
    </cfRule>
  </conditionalFormatting>
  <conditionalFormatting sqref="AM43">
    <cfRule type="expression" dxfId="156" priority="95">
      <formula>$AM$43=""</formula>
    </cfRule>
  </conditionalFormatting>
  <conditionalFormatting sqref="AM50">
    <cfRule type="expression" dxfId="155" priority="74">
      <formula>$AM$50=""</formula>
    </cfRule>
  </conditionalFormatting>
  <conditionalFormatting sqref="AM52">
    <cfRule type="expression" dxfId="154" priority="71">
      <formula>$AM$52=""</formula>
    </cfRule>
  </conditionalFormatting>
  <conditionalFormatting sqref="AM54">
    <cfRule type="expression" dxfId="153" priority="69">
      <formula>$AM$54=""</formula>
    </cfRule>
  </conditionalFormatting>
  <conditionalFormatting sqref="AM61">
    <cfRule type="expression" dxfId="152" priority="51">
      <formula>$AM$61=""</formula>
    </cfRule>
  </conditionalFormatting>
  <conditionalFormatting sqref="AM72">
    <cfRule type="expression" dxfId="151" priority="36">
      <formula>$AM$72=""</formula>
    </cfRule>
  </conditionalFormatting>
  <conditionalFormatting sqref="AM74">
    <cfRule type="expression" dxfId="150" priority="30">
      <formula>$AM$74=""</formula>
    </cfRule>
  </conditionalFormatting>
  <conditionalFormatting sqref="AM76">
    <cfRule type="expression" dxfId="149" priority="28">
      <formula>$AM$76=""</formula>
    </cfRule>
  </conditionalFormatting>
  <conditionalFormatting sqref="AN55">
    <cfRule type="expression" dxfId="148" priority="6">
      <formula>$AN$55&lt;&gt;""</formula>
    </cfRule>
  </conditionalFormatting>
  <dataValidations disablePrompts="1" count="1">
    <dataValidation type="time" allowBlank="1" showInputMessage="1" showErrorMessage="1" sqref="B13" xr:uid="{00000000-0002-0000-0400-000000000000}">
      <formula1>J7</formula1>
      <formula2>J8</formula2>
    </dataValidation>
  </dataValidations>
  <hyperlinks>
    <hyperlink ref="AC92" r:id="rId1" xr:uid="{00000000-0004-0000-0400-000000000000}"/>
    <hyperlink ref="AM94:AN101" location="FORMULARIO!A1" display="VOLVER AL FORMULARIO" xr:uid="{00000000-0004-0000-0400-000001000000}"/>
  </hyperlinks>
  <printOptions horizontalCentered="1" verticalCentered="1"/>
  <pageMargins left="0" right="0" top="0" bottom="0" header="0" footer="0"/>
  <pageSetup paperSize="9" scale="69" orientation="portrait" r:id="rId2"/>
  <colBreaks count="2" manualBreakCount="2">
    <brk id="19" max="95" man="1"/>
    <brk id="28"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7"/>
  <dimension ref="J3:N3"/>
  <sheetViews>
    <sheetView workbookViewId="0">
      <selection activeCell="I6" sqref="I6"/>
    </sheetView>
  </sheetViews>
  <sheetFormatPr baseColWidth="10" defaultColWidth="11.44140625" defaultRowHeight="13.2" x14ac:dyDescent="0.25"/>
  <sheetData>
    <row r="3" spans="10:14" x14ac:dyDescent="0.25">
      <c r="J3" s="1518" t="s">
        <v>643</v>
      </c>
      <c r="K3" s="1518"/>
      <c r="L3" s="1518"/>
      <c r="M3" s="1518"/>
      <c r="N3" s="1518"/>
    </row>
  </sheetData>
  <sheetProtection sheet="1" objects="1" scenarios="1"/>
  <mergeCells count="1">
    <mergeCell ref="J3:N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2"/>
  <dimension ref="A1:CY89"/>
  <sheetViews>
    <sheetView showGridLines="0" topLeftCell="A18" zoomScale="85" zoomScaleNormal="85" workbookViewId="0">
      <selection activeCell="F34" sqref="F34"/>
    </sheetView>
  </sheetViews>
  <sheetFormatPr baseColWidth="10" defaultColWidth="11.44140625" defaultRowHeight="13.2" x14ac:dyDescent="0.25"/>
  <cols>
    <col min="1" max="1" width="3.44140625" style="15" customWidth="1"/>
    <col min="2" max="2" width="43.6640625" style="15" customWidth="1"/>
    <col min="3" max="3" width="17.6640625" style="15" customWidth="1"/>
    <col min="4" max="4" width="21.33203125" style="15" customWidth="1"/>
    <col min="5" max="5" width="13.109375" style="15" customWidth="1"/>
    <col min="6" max="6" width="16.44140625" style="15" customWidth="1"/>
    <col min="7" max="7" width="21.44140625" style="15" customWidth="1"/>
    <col min="8" max="8" width="23.33203125" style="15" customWidth="1"/>
    <col min="9" max="9" width="37.6640625" style="15" customWidth="1"/>
    <col min="10" max="10" width="11.44140625" customWidth="1"/>
    <col min="11" max="11" width="16" style="15" customWidth="1"/>
    <col min="12" max="53" width="11.44140625" style="15" customWidth="1"/>
    <col min="54" max="54" width="4" style="15" customWidth="1"/>
    <col min="55" max="55" width="43.6640625" style="15" customWidth="1"/>
    <col min="56" max="56" width="43.6640625" style="15" hidden="1" customWidth="1"/>
    <col min="57" max="57" width="17.6640625" style="15" hidden="1" customWidth="1"/>
    <col min="58" max="58" width="13.109375" style="15" hidden="1" customWidth="1"/>
    <col min="59" max="59" width="21.33203125" style="15" hidden="1" customWidth="1"/>
    <col min="60" max="60" width="13.109375" style="15" hidden="1" customWidth="1"/>
    <col min="61" max="61" width="16.44140625" style="15" hidden="1" customWidth="1"/>
    <col min="62" max="62" width="21.44140625" style="15" hidden="1" customWidth="1"/>
    <col min="63" max="63" width="25.33203125" style="15" hidden="1" customWidth="1"/>
    <col min="64" max="64" width="30.33203125" style="15" customWidth="1"/>
    <col min="68" max="16384" width="11.44140625" style="15"/>
  </cols>
  <sheetData>
    <row r="1" spans="1:103" ht="15" customHeight="1" x14ac:dyDescent="0.25">
      <c r="C1" s="480"/>
      <c r="D1" s="1540"/>
      <c r="E1" s="1540"/>
      <c r="F1" s="1540"/>
      <c r="G1" s="1540"/>
      <c r="H1" s="696">
        <f>INICIO!N1</f>
        <v>46288</v>
      </c>
      <c r="M1" s="1539"/>
      <c r="N1" s="1539"/>
      <c r="O1" s="1539"/>
      <c r="P1" s="1539"/>
      <c r="Q1" s="1539"/>
      <c r="R1" s="1539"/>
      <c r="S1" s="1539"/>
      <c r="T1" s="1539"/>
      <c r="U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BF1" s="480"/>
      <c r="BG1" s="1540"/>
      <c r="BH1" s="1540"/>
      <c r="BI1" s="1540"/>
      <c r="BJ1" s="1540"/>
      <c r="BK1" s="489"/>
      <c r="CS1" s="151"/>
      <c r="CT1" s="160"/>
      <c r="CU1" s="160"/>
      <c r="CV1" s="490"/>
      <c r="CW1" s="490"/>
      <c r="CX1" s="490"/>
    </row>
    <row r="2" spans="1:103" ht="15" customHeight="1" x14ac:dyDescent="0.3">
      <c r="C2" s="1541" t="str">
        <f>IF('LIQUIDACIÓN-GASTOS'!AC7&lt;&gt;"","RENUNCIA DE LA LIQUIDACIÓN","")</f>
        <v/>
      </c>
      <c r="D2" s="1541"/>
      <c r="E2" s="1541"/>
      <c r="F2" s="1541"/>
      <c r="G2" s="1541"/>
      <c r="H2" s="1541"/>
      <c r="K2"/>
      <c r="L2"/>
      <c r="M2"/>
      <c r="N2"/>
      <c r="O2"/>
      <c r="P2" s="1539"/>
      <c r="Q2" s="1539"/>
      <c r="R2" s="1539"/>
      <c r="S2" s="1539"/>
      <c r="T2" s="1539"/>
      <c r="U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BF2" s="1541" t="str">
        <f>IF($J$48&lt;&gt;"","",IF(J53&gt;0," ",C2))</f>
        <v/>
      </c>
      <c r="BG2" s="1541"/>
      <c r="BH2" s="1541"/>
      <c r="BI2" s="1541"/>
      <c r="BJ2" s="1541"/>
      <c r="BK2" s="1541"/>
      <c r="CS2" s="1538"/>
      <c r="CT2" s="1538"/>
      <c r="CU2" s="1538"/>
      <c r="CV2" s="1538"/>
      <c r="CW2" s="1538"/>
      <c r="CX2" s="1538"/>
    </row>
    <row r="3" spans="1:103" ht="15" customHeight="1" x14ac:dyDescent="0.25">
      <c r="B3" s="1523" t="str">
        <f>B53</f>
        <v>"GUARDE ESTA HOJA EN PDF Y ADJÚNTELA CON LA LIQUIDACIÓN UNA VEZ FIRMADA POR PORTAFIRMAS"</v>
      </c>
      <c r="C3" s="1523"/>
      <c r="D3" s="1523"/>
      <c r="E3" s="1523"/>
      <c r="F3" s="1523"/>
      <c r="G3" s="1523"/>
      <c r="H3" s="30"/>
      <c r="K3"/>
      <c r="L3"/>
      <c r="M3"/>
      <c r="N3"/>
      <c r="O3"/>
      <c r="P3" s="78"/>
      <c r="Q3" s="78"/>
      <c r="R3" s="78"/>
      <c r="S3" s="78"/>
      <c r="T3" s="78"/>
      <c r="U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BF3" s="30"/>
      <c r="BG3" s="30"/>
      <c r="BH3" s="30"/>
      <c r="BI3" s="30"/>
      <c r="BJ3" s="30"/>
      <c r="BK3" s="30"/>
      <c r="CS3" s="29"/>
      <c r="CT3" s="29"/>
      <c r="CU3" s="29"/>
      <c r="CV3" s="29"/>
      <c r="CW3" s="29"/>
      <c r="CX3" s="29"/>
    </row>
    <row r="4" spans="1:103" ht="15" customHeight="1" x14ac:dyDescent="0.25">
      <c r="C4" s="30"/>
      <c r="D4" s="30"/>
      <c r="E4" s="30"/>
      <c r="F4" s="30"/>
      <c r="G4" s="30"/>
      <c r="H4" s="30"/>
      <c r="K4"/>
      <c r="L4"/>
      <c r="M4"/>
      <c r="N4"/>
      <c r="O4"/>
      <c r="P4" s="78"/>
      <c r="Q4" s="78"/>
      <c r="R4" s="78"/>
      <c r="S4" s="78"/>
      <c r="T4" s="78"/>
      <c r="U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BF4" s="30"/>
      <c r="BG4" s="30"/>
      <c r="BH4" s="30"/>
      <c r="BI4" s="30"/>
      <c r="BJ4" s="30"/>
      <c r="BK4" s="30"/>
      <c r="CS4" s="29"/>
      <c r="CT4" s="29"/>
      <c r="CU4" s="29"/>
      <c r="CV4" s="29"/>
      <c r="CW4" s="29"/>
      <c r="CX4" s="29"/>
    </row>
    <row r="5" spans="1:103" ht="15" customHeight="1" x14ac:dyDescent="0.3">
      <c r="A5" s="507"/>
      <c r="B5" s="508"/>
      <c r="C5" s="1543" t="str">
        <f>IF('LIQUIDACIÓN-GASTOS'!AC7&lt;&gt;"","DATOS DE MI LIQUIDACION","")</f>
        <v/>
      </c>
      <c r="D5" s="1543"/>
      <c r="E5" s="1543"/>
      <c r="F5" s="1543"/>
      <c r="G5" s="1543"/>
      <c r="H5" s="1543"/>
      <c r="I5" s="509"/>
      <c r="K5"/>
      <c r="L5"/>
      <c r="M5"/>
      <c r="N5"/>
      <c r="O5"/>
      <c r="U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c r="BC5" s="7"/>
      <c r="BF5" s="1541" t="str">
        <f>IF($J$48&lt;&gt;"","",IF(J53&gt;0," ",C5))</f>
        <v/>
      </c>
      <c r="BG5" s="1541"/>
      <c r="BH5" s="1541"/>
      <c r="BI5" s="1541"/>
      <c r="BJ5" s="1541"/>
      <c r="BK5" s="1541"/>
      <c r="CS5" s="1538"/>
      <c r="CT5" s="1538"/>
      <c r="CU5" s="1538"/>
      <c r="CV5" s="1538"/>
      <c r="CW5" s="1538"/>
      <c r="CX5" s="1538"/>
    </row>
    <row r="6" spans="1:103" ht="15" customHeight="1" x14ac:dyDescent="0.25">
      <c r="A6" s="510"/>
      <c r="C6" s="6"/>
      <c r="D6" s="6"/>
      <c r="E6" s="6"/>
      <c r="F6" s="6"/>
      <c r="G6" s="6"/>
      <c r="H6" s="6"/>
      <c r="I6" s="1005"/>
      <c r="K6"/>
      <c r="L6"/>
      <c r="M6"/>
      <c r="N6"/>
      <c r="O6"/>
      <c r="P6" s="1519"/>
      <c r="Q6" s="1519"/>
      <c r="R6" s="1519"/>
      <c r="S6" s="221"/>
      <c r="U6" s="483"/>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BC6" s="7"/>
      <c r="BF6" s="1538"/>
      <c r="BG6" s="1538"/>
      <c r="BH6" s="1538"/>
      <c r="BI6" s="1538"/>
      <c r="BJ6" s="1538"/>
      <c r="BK6" s="1538"/>
      <c r="BL6" s="1538"/>
      <c r="CS6" s="1538"/>
      <c r="CT6" s="1538"/>
      <c r="CU6" s="1538"/>
      <c r="CV6" s="1538"/>
      <c r="CW6" s="1538"/>
      <c r="CX6" s="1538"/>
      <c r="CY6" s="1538"/>
    </row>
    <row r="7" spans="1:103" ht="15" customHeight="1" x14ac:dyDescent="0.3">
      <c r="A7" s="510"/>
      <c r="B7" s="17" t="str">
        <f>'LIQUIDACIÓN-GASTOS'!AE6</f>
        <v/>
      </c>
      <c r="C7" s="1544" t="str">
        <f>'LIQUIDACIÓN-GASTOS'!AF6</f>
        <v/>
      </c>
      <c r="D7" s="1544"/>
      <c r="E7" s="6" t="str">
        <f>'LIQUIDACIÓN-GASTOS'!AI6</f>
        <v>Elija la Opción    ▼</v>
      </c>
      <c r="F7" s="447"/>
      <c r="G7" s="447"/>
      <c r="H7" s="447"/>
      <c r="I7" s="511"/>
      <c r="K7"/>
      <c r="L7"/>
      <c r="M7"/>
      <c r="N7"/>
      <c r="O7"/>
      <c r="P7" s="1519"/>
      <c r="Q7" s="1519"/>
      <c r="R7" s="182"/>
      <c r="S7" s="182"/>
      <c r="U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BC7" s="7"/>
      <c r="BG7" s="1542"/>
      <c r="BH7" s="1542"/>
      <c r="BI7" s="1542"/>
      <c r="BJ7" s="1542"/>
      <c r="BK7" s="1542"/>
    </row>
    <row r="8" spans="1:103" ht="15" customHeight="1" x14ac:dyDescent="0.3">
      <c r="A8" s="1557" t="str">
        <f>'LIQUIDACIÓN-GASTOS'!AC11</f>
        <v/>
      </c>
      <c r="B8" s="1558"/>
      <c r="C8" s="1549" t="str">
        <f>'LIQUIDACIÓN-GASTOS'!AF11</f>
        <v/>
      </c>
      <c r="D8" s="1549"/>
      <c r="E8" s="1549"/>
      <c r="F8" s="1549"/>
      <c r="G8" s="219" t="str">
        <f>'LIQUIDACIÓN-GASTOS'!AJ11</f>
        <v/>
      </c>
      <c r="H8" s="6"/>
      <c r="I8" s="511"/>
      <c r="K8" s="1519"/>
      <c r="L8" s="1519"/>
      <c r="M8" s="1519"/>
      <c r="N8" s="1519"/>
      <c r="O8" s="182"/>
      <c r="P8" s="1519"/>
      <c r="Q8" s="1519"/>
      <c r="R8" s="182"/>
      <c r="S8" s="182"/>
      <c r="U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BC8" s="7"/>
      <c r="BD8" s="1548" t="str">
        <f>IF($J$48&lt;&gt;"","",IF($J$53&gt;0," ",A8))</f>
        <v/>
      </c>
      <c r="BE8" s="1548"/>
      <c r="BF8" s="1539" t="str">
        <f>IF($J$48&lt;&gt;"","",IF($J$53&gt;0," ",C8))</f>
        <v/>
      </c>
      <c r="BG8" s="1539"/>
      <c r="BH8" s="1539"/>
      <c r="BI8" s="1539"/>
      <c r="BJ8" s="219" t="str">
        <f>IF($J$48&lt;&gt;"","",IF($J$53&gt;0," ",G8))</f>
        <v/>
      </c>
      <c r="BK8" s="1539">
        <f>IF($J$48&lt;&gt;"","",IF($J$53&gt;0," ",H8))</f>
        <v>0</v>
      </c>
      <c r="BL8" s="1539"/>
    </row>
    <row r="9" spans="1:103" ht="15" customHeight="1" x14ac:dyDescent="0.3">
      <c r="A9" s="510"/>
      <c r="B9" s="512" t="str">
        <f>'LIQUIDACIÓN-GASTOS'!AC12</f>
        <v/>
      </c>
      <c r="C9" s="1549" t="str">
        <f>'LIQUIDACIÓN-GASTOS'!AE12</f>
        <v/>
      </c>
      <c r="D9" s="1549"/>
      <c r="E9" s="1549"/>
      <c r="G9" s="15" t="str">
        <f>FORMULARIO!F18</f>
        <v xml:space="preserve">Categoría profesional </v>
      </c>
      <c r="H9" s="6">
        <f>FORMULARIO!F19</f>
        <v>0</v>
      </c>
      <c r="I9" s="513"/>
      <c r="K9" s="221"/>
      <c r="M9" s="1519"/>
      <c r="N9" s="1519"/>
      <c r="O9" s="182"/>
      <c r="P9" s="1519"/>
      <c r="Q9" s="1519"/>
      <c r="R9" s="182"/>
      <c r="S9" s="182"/>
      <c r="U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BC9" s="7"/>
      <c r="BD9" s="1548" t="str">
        <f>IF($J$48&lt;&gt;"","",IF($J$53&gt;0," ",B9))</f>
        <v/>
      </c>
      <c r="BE9" s="1548"/>
      <c r="BF9" s="1539" t="str">
        <f>IF($J$48&lt;&gt;"","",IF($J$53&gt;0," ",C9))</f>
        <v/>
      </c>
      <c r="BG9" s="1539"/>
      <c r="BH9" s="1539"/>
      <c r="BJ9" s="15" t="str">
        <f>IF($J$48&lt;&gt;"","",IF($J$53&gt;0," ",G9))</f>
        <v xml:space="preserve">Categoría profesional </v>
      </c>
      <c r="BK9" s="15">
        <f>IF($J$48&lt;&gt;"","",IF($J$53&gt;0," ",H9))</f>
        <v>0</v>
      </c>
      <c r="BL9" s="532"/>
      <c r="CR9" s="22"/>
      <c r="CS9" s="1552"/>
      <c r="CT9" s="1552"/>
      <c r="CU9" s="1552"/>
      <c r="CV9" s="1552"/>
      <c r="CW9" s="1552"/>
      <c r="CX9" s="1552"/>
      <c r="CY9" s="1552"/>
    </row>
    <row r="10" spans="1:103" ht="15" customHeight="1" x14ac:dyDescent="0.3">
      <c r="A10" s="510"/>
      <c r="B10" s="512" t="str">
        <f>'LIQUIDACIÓN-GASTOS'!AC14</f>
        <v/>
      </c>
      <c r="C10" s="6" t="str">
        <f>'LIQUIDACIÓN-GASTOS'!AE14</f>
        <v/>
      </c>
      <c r="I10" s="511"/>
      <c r="K10" s="108"/>
      <c r="L10" s="155"/>
      <c r="M10" s="1519"/>
      <c r="N10" s="1519"/>
      <c r="P10" s="1519"/>
      <c r="Q10" s="1519"/>
      <c r="R10" s="182"/>
      <c r="S10" s="182"/>
      <c r="U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BC10" s="7"/>
      <c r="BD10" s="1548" t="str">
        <f>IF($J$48&lt;&gt;"","",IF($J$53&gt;0," ",B10))</f>
        <v/>
      </c>
      <c r="BE10" s="1548"/>
      <c r="BF10" s="1549" t="str">
        <f>IF($J$48&lt;&gt;"","",IF($J$53&gt;0," ",C10))</f>
        <v/>
      </c>
      <c r="BG10" s="1549"/>
      <c r="BH10" s="1549"/>
      <c r="BI10" s="1549"/>
      <c r="BJ10" s="1549"/>
      <c r="BK10" s="1549"/>
      <c r="BL10" s="1549"/>
      <c r="CR10" s="22"/>
      <c r="CS10" s="1552"/>
      <c r="CT10" s="1552"/>
      <c r="CU10" s="1552"/>
      <c r="CV10" s="1552"/>
      <c r="CW10" s="1552"/>
      <c r="CX10" s="1552"/>
      <c r="CY10" s="1552"/>
    </row>
    <row r="11" spans="1:103" ht="15" customHeight="1" x14ac:dyDescent="0.3">
      <c r="A11" s="510"/>
      <c r="B11" s="512" t="str">
        <f>'LIQUIDACIÓN-GASTOS'!AG14</f>
        <v/>
      </c>
      <c r="C11" s="1538" t="str">
        <f>'LIQUIDACIÓN-GASTOS'!AH14</f>
        <v/>
      </c>
      <c r="D11" s="1538"/>
      <c r="E11" s="1538"/>
      <c r="F11" s="1538"/>
      <c r="G11" s="15" t="str">
        <f>'LIQUIDACIÓN-GASTOS'!AJ14</f>
        <v/>
      </c>
      <c r="H11" s="1040" t="str">
        <f>'LIQUIDACIÓN-GASTOS'!AK14</f>
        <v/>
      </c>
      <c r="I11" s="1006"/>
      <c r="K11" s="108"/>
      <c r="L11" s="155"/>
      <c r="M11" s="484"/>
      <c r="N11" s="484"/>
      <c r="P11" s="221"/>
      <c r="S11" s="182"/>
      <c r="U11" s="137"/>
      <c r="W11" s="137"/>
      <c r="X11" s="137"/>
      <c r="Y11" s="137"/>
      <c r="Z11" s="137"/>
      <c r="AA11" s="137"/>
      <c r="AB11" s="137"/>
      <c r="AC11" s="137"/>
      <c r="AD11" s="137"/>
      <c r="AE11" s="137"/>
      <c r="AF11" s="137"/>
      <c r="AG11" s="137"/>
      <c r="AH11" s="137"/>
      <c r="AI11" s="137"/>
      <c r="AJ11" s="137"/>
      <c r="AK11" s="137"/>
      <c r="AT11" s="137"/>
      <c r="BC11" s="7"/>
      <c r="BD11" s="1548" t="str">
        <f>IF($J$48&lt;&gt;"","",IF($J$53&gt;0," ",B11))</f>
        <v/>
      </c>
      <c r="BE11" s="1548"/>
      <c r="BF11" s="1538" t="str">
        <f>IF($J$48&lt;&gt;"","",IF($J$53&gt;0," ",C11))</f>
        <v/>
      </c>
      <c r="BG11" s="1538"/>
      <c r="BH11" s="1538"/>
      <c r="BI11" s="1538"/>
      <c r="BJ11" s="15" t="str">
        <f>IF($J$48&lt;&gt;"","",IF($J$53&gt;0," ",G11))</f>
        <v/>
      </c>
      <c r="BK11" s="1550" t="str">
        <f>IF($J$48&lt;&gt;"","",IF($J$53&gt;0," ",H11))</f>
        <v/>
      </c>
      <c r="BL11" s="1551"/>
      <c r="CR11" s="6"/>
      <c r="CS11" s="6"/>
      <c r="CT11" s="6"/>
      <c r="CU11" s="6"/>
      <c r="CV11" s="6"/>
      <c r="CW11" s="6"/>
      <c r="CX11" s="1545"/>
      <c r="CY11" s="1546"/>
    </row>
    <row r="12" spans="1:103" ht="15" customHeight="1" x14ac:dyDescent="0.3">
      <c r="A12" s="510"/>
      <c r="B12" s="512" t="str">
        <f>'LIQUIDACIÓN-GASTOS'!AC15</f>
        <v/>
      </c>
      <c r="D12" s="1041" t="str">
        <f>'LIQUIDACIÓN-GASTOS'!AF15</f>
        <v/>
      </c>
      <c r="E12" s="15" t="str">
        <f>'LIQUIDACIÓN-GASTOS'!AG15</f>
        <v/>
      </c>
      <c r="F12" s="1041" t="str">
        <f>'LIQUIDACIÓN-GASTOS'!AI15</f>
        <v/>
      </c>
      <c r="G12" s="1568"/>
      <c r="H12" s="1568"/>
      <c r="I12"/>
      <c r="M12" s="484"/>
      <c r="N12" s="221"/>
      <c r="P12" s="484"/>
      <c r="S12" s="182"/>
      <c r="U12" s="485"/>
      <c r="W12" s="169"/>
      <c r="X12" s="137"/>
      <c r="Y12" s="137"/>
      <c r="Z12" s="137"/>
      <c r="AA12" s="170"/>
      <c r="AB12" s="137"/>
      <c r="AC12" s="137"/>
      <c r="AD12" s="170"/>
      <c r="AE12" s="137"/>
      <c r="AF12" s="137"/>
      <c r="AG12" s="137"/>
      <c r="AH12" s="137"/>
      <c r="AI12" s="137"/>
      <c r="AJ12" s="137"/>
      <c r="AK12" s="137"/>
      <c r="AT12" s="137"/>
      <c r="BC12" s="7"/>
      <c r="BD12" s="1548" t="str">
        <f>IF($J$48&lt;&gt;"","",IF($J$53&gt;0," ",B12))</f>
        <v/>
      </c>
      <c r="BE12" s="1548"/>
      <c r="BF12" s="15">
        <f>IF($J$48&lt;&gt;"","",IF($J$53&gt;0," ",C12))</f>
        <v>0</v>
      </c>
      <c r="BG12" s="223" t="str">
        <f>IF($J$48&lt;&gt;"","",IF($J$53&gt;0," ",D12))</f>
        <v/>
      </c>
      <c r="BH12" s="15" t="str">
        <f>IF($J$48&lt;&gt;"","",IF($J$53&gt;0," ",E12))</f>
        <v/>
      </c>
      <c r="BI12" s="223" t="str">
        <f>IF($J$48&lt;&gt;"","",IF($J$53&gt;0," ",F12))</f>
        <v/>
      </c>
      <c r="CR12" s="94"/>
      <c r="CS12" s="1538"/>
      <c r="CT12" s="1538"/>
      <c r="CU12" s="1538"/>
      <c r="CV12" s="1538"/>
      <c r="CW12" s="1538"/>
      <c r="CX12" s="1538"/>
      <c r="CY12" s="1538"/>
    </row>
    <row r="13" spans="1:103" ht="15" customHeight="1" thickBot="1" x14ac:dyDescent="0.35">
      <c r="A13" s="514"/>
      <c r="B13" s="515"/>
      <c r="C13" s="524"/>
      <c r="D13" s="7"/>
      <c r="E13" s="7"/>
      <c r="F13" s="7"/>
      <c r="G13" s="1568"/>
      <c r="H13" s="1568"/>
      <c r="I13"/>
      <c r="M13" s="484"/>
      <c r="N13" s="484"/>
      <c r="P13" s="484"/>
      <c r="U13" s="137"/>
      <c r="W13" s="137"/>
      <c r="X13" s="137"/>
      <c r="Y13" s="137"/>
      <c r="Z13" s="137"/>
      <c r="AA13" s="137"/>
      <c r="AB13" s="137"/>
      <c r="AC13" s="137"/>
      <c r="AD13" s="137"/>
      <c r="AE13" s="137"/>
      <c r="AF13" s="137"/>
      <c r="AG13" s="137"/>
      <c r="AH13" s="137"/>
      <c r="AI13" s="137"/>
      <c r="AJ13" s="137"/>
      <c r="AK13" s="137"/>
      <c r="AT13" s="137"/>
      <c r="BC13" s="7"/>
      <c r="BE13" s="17"/>
      <c r="BF13" s="225"/>
      <c r="BG13" s="546">
        <f>IF($J$48&lt;&gt;"","",IF($J$53&lt;0," ",D13))</f>
        <v>0</v>
      </c>
      <c r="BH13" s="525"/>
      <c r="BI13" s="533">
        <f>IF($J$48&lt;&gt;"","",IF($J$45&lt;0," ",F13))</f>
        <v>0</v>
      </c>
      <c r="BJ13" s="10">
        <f>IF($J$48&lt;&gt;"","",IF($J$45&gt;0," ",G12))</f>
        <v>0</v>
      </c>
      <c r="BK13" s="10"/>
      <c r="CR13" s="17"/>
      <c r="CS13" s="1547"/>
      <c r="CT13" s="1547"/>
      <c r="CU13" s="1547"/>
      <c r="CV13" s="1547"/>
      <c r="CW13" s="1547"/>
      <c r="CX13" s="1547"/>
    </row>
    <row r="14" spans="1:103" ht="15" customHeight="1" thickTop="1" x14ac:dyDescent="0.25">
      <c r="B14" s="1564" t="s">
        <v>644</v>
      </c>
      <c r="C14" s="1565"/>
      <c r="D14" s="1561" t="s">
        <v>645</v>
      </c>
      <c r="E14" s="1562"/>
      <c r="F14" s="1563"/>
      <c r="G14" s="518" t="s">
        <v>646</v>
      </c>
      <c r="H14" s="26"/>
      <c r="I14"/>
      <c r="BC14" s="7"/>
      <c r="BD14" s="1559" t="str">
        <f>IF($J$48&lt;&gt;"","",IF($J$53&gt;0," ",B14))</f>
        <v xml:space="preserve">DESGLOSE DE LA LIQUIDACIÓN </v>
      </c>
      <c r="BE14" s="1560" t="s">
        <v>644</v>
      </c>
      <c r="BF14" s="540"/>
      <c r="BG14" s="1569" t="str">
        <f>IF($J$48&lt;&gt;"","",IF($J$53&gt;0," ",D14))</f>
        <v>DESGLOSE DE LA RENUNCIA</v>
      </c>
      <c r="BH14" s="1569"/>
      <c r="BI14" s="1569"/>
      <c r="BJ14" s="541" t="str">
        <f>IF($J$48&lt;&gt;"","",IF($J$53&gt;0," ",G14))</f>
        <v>A PERCIBIR</v>
      </c>
      <c r="BK14" s="26"/>
    </row>
    <row r="15" spans="1:103" ht="15" customHeight="1" x14ac:dyDescent="0.25">
      <c r="B15" s="500" t="s">
        <v>647</v>
      </c>
      <c r="C15" s="20"/>
      <c r="D15" s="1566" t="s">
        <v>647</v>
      </c>
      <c r="E15" s="1567"/>
      <c r="F15" s="520" t="s">
        <v>648</v>
      </c>
      <c r="G15" s="7"/>
      <c r="H15" s="7"/>
      <c r="I15"/>
      <c r="M15"/>
      <c r="BC15" s="7"/>
      <c r="BD15" s="500" t="str">
        <f>IF($J$48&lt;&gt;"","",IF($J$53&gt;0," ",B15))</f>
        <v>Territorio Nacional :</v>
      </c>
      <c r="BE15" s="20"/>
      <c r="BF15" s="20"/>
      <c r="BG15" s="1530" t="str">
        <f>IF($J$48&lt;&gt;"","",IF($J$53&gt;0," ",D15))</f>
        <v>Territorio Nacional :</v>
      </c>
      <c r="BH15" s="1531"/>
      <c r="BI15" s="520" t="str">
        <f>IF($J$48&lt;&gt;"","",IF($J$45&gt;0," ",F15))</f>
        <v>Renuncia a:</v>
      </c>
      <c r="BJ15" s="7"/>
      <c r="BK15" s="7"/>
    </row>
    <row r="16" spans="1:103" ht="15" customHeight="1" x14ac:dyDescent="0.25">
      <c r="B16" s="501" t="s">
        <v>649</v>
      </c>
      <c r="C16" s="526">
        <f>IF(C34&lt;&gt;0,0,'LIQUIDACIÓN-GASTOS'!AR30)</f>
        <v>0</v>
      </c>
      <c r="D16" s="1536" t="s">
        <v>649</v>
      </c>
      <c r="E16" s="1537"/>
      <c r="F16" s="521">
        <v>0</v>
      </c>
      <c r="G16" s="681">
        <f>IFERROR(C16-F16,0)</f>
        <v>0</v>
      </c>
      <c r="H16" s="26" t="str">
        <f>IF(F16&gt;C16,"Renuncia no válida, el importe no puede ser negativo","")</f>
        <v/>
      </c>
      <c r="I16"/>
      <c r="BC16" s="7"/>
      <c r="BD16" s="500" t="str">
        <f>IF($J$48&lt;&gt;"","",IF($J$53&gt;0," ",B16))</f>
        <v>Manutención:</v>
      </c>
      <c r="BE16" s="526">
        <f>IF($J$48&lt;&gt;"","",IF($J$53&gt;0," ",C16))</f>
        <v>0</v>
      </c>
      <c r="BF16" s="526"/>
      <c r="BG16" s="1566" t="str">
        <f>IF($J$48&lt;&gt;"","",IF($J$53&gt;0," ",D16))</f>
        <v>Manutención:</v>
      </c>
      <c r="BH16" s="1567"/>
      <c r="BI16" s="531">
        <f>IF($J$48&lt;&gt;"","",IF($J$53&gt;0," ",F17))</f>
        <v>0</v>
      </c>
      <c r="BJ16" s="519">
        <f>IF($J$48&lt;&gt;"","",IF($J$53&gt;0," ",G16))</f>
        <v>0</v>
      </c>
      <c r="BK16" s="26" t="str">
        <f>IF($J$48&lt;&gt;"","",IF($J$53&gt;0," ",H16))</f>
        <v/>
      </c>
    </row>
    <row r="17" spans="2:63" ht="15" customHeight="1" x14ac:dyDescent="0.25">
      <c r="B17" s="501" t="s">
        <v>650</v>
      </c>
      <c r="C17" s="526">
        <f>IF(C34&lt;&gt;0,0,'LIQUIDACIÓN-GASTOS'!AR28)</f>
        <v>0</v>
      </c>
      <c r="D17" s="1536" t="s">
        <v>650</v>
      </c>
      <c r="E17" s="1537"/>
      <c r="F17" s="521">
        <v>0</v>
      </c>
      <c r="G17" s="681">
        <f>IFERROR(C17-F17,0)</f>
        <v>0</v>
      </c>
      <c r="H17" s="26" t="str">
        <f>IF(F17&gt;C17,"Renuncia no válida, el importe no puede ser negativo","")</f>
        <v/>
      </c>
      <c r="I17"/>
      <c r="BC17" s="7"/>
      <c r="BD17" s="500" t="str">
        <f>IF($J$48&lt;&gt;"","",IF($J$53&gt;0," ",B17))</f>
        <v>Alojamiento:</v>
      </c>
      <c r="BE17" s="526">
        <f>IF($J$48&lt;&gt;"","",IF($J$53&gt;0," ",C17))</f>
        <v>0</v>
      </c>
      <c r="BF17" s="526"/>
      <c r="BG17" s="1566" t="str">
        <f>IF($J$48&lt;&gt;"","",IF($J$53&gt;0," ",D17))</f>
        <v>Alojamiento:</v>
      </c>
      <c r="BH17" s="1567"/>
      <c r="BI17" s="531">
        <f>IF($J$48&lt;&gt;"","",IF($J$53&gt;0," ",F18))</f>
        <v>0</v>
      </c>
      <c r="BJ17" s="519">
        <f t="shared" ref="BJ17:BJ45" si="0">IF($J$48&lt;&gt;"","",IF($J$53&gt;0," ",G17))</f>
        <v>0</v>
      </c>
      <c r="BK17" s="26" t="str">
        <f t="shared" ref="BK17:BK44" si="1">IF($J$48&lt;&gt;"","",IF($J$45&gt;0," ",H17))</f>
        <v/>
      </c>
    </row>
    <row r="18" spans="2:63" ht="15" customHeight="1" x14ac:dyDescent="0.25">
      <c r="B18" s="502"/>
      <c r="C18" s="506"/>
      <c r="D18" s="522"/>
      <c r="E18" s="506"/>
      <c r="F18" s="393"/>
      <c r="G18" s="7"/>
      <c r="H18" s="7"/>
      <c r="I18"/>
      <c r="BC18" s="7"/>
      <c r="BD18" s="500"/>
      <c r="BE18" s="506"/>
      <c r="BF18" s="506"/>
      <c r="BG18" s="522"/>
      <c r="BH18" s="506"/>
      <c r="BI18" s="393"/>
      <c r="BJ18" s="519"/>
      <c r="BK18" s="26"/>
    </row>
    <row r="19" spans="2:63" ht="15" customHeight="1" x14ac:dyDescent="0.25">
      <c r="B19" s="500" t="str">
        <f>FORMULARIO!H68</f>
        <v>ELIJA EL PAÍS          ▼</v>
      </c>
      <c r="C19" s="18" t="s">
        <v>651</v>
      </c>
      <c r="D19" s="1530" t="str">
        <f>FORMULARIO!H68</f>
        <v>ELIJA EL PAÍS          ▼</v>
      </c>
      <c r="E19" s="1531"/>
      <c r="F19" s="393"/>
      <c r="G19" s="7"/>
      <c r="H19" s="7"/>
      <c r="I19"/>
      <c r="BC19" s="7"/>
      <c r="BD19" s="500" t="str">
        <f>IF($J$48&lt;&gt;"","",IF($J$53&gt;0," ",B19))</f>
        <v>ELIJA EL PAÍS          ▼</v>
      </c>
      <c r="BE19" s="506"/>
      <c r="BF19" s="506"/>
      <c r="BG19" s="1530" t="str">
        <f>IF($J$53&gt;0," ",D19)</f>
        <v>ELIJA EL PAÍS          ▼</v>
      </c>
      <c r="BH19" s="1531"/>
      <c r="BI19" s="393"/>
      <c r="BJ19" s="519"/>
      <c r="BK19" s="26"/>
    </row>
    <row r="20" spans="2:63" ht="15" customHeight="1" x14ac:dyDescent="0.25">
      <c r="B20" s="501" t="s">
        <v>649</v>
      </c>
      <c r="C20" s="526">
        <f>IF(C34&lt;&gt;0,0,'LIQUIDACIÓN-GASTOS'!AS52)</f>
        <v>0</v>
      </c>
      <c r="D20" s="1536" t="s">
        <v>649</v>
      </c>
      <c r="E20" s="1537"/>
      <c r="F20" s="952">
        <v>0</v>
      </c>
      <c r="G20" s="681">
        <f>IFERROR(C20-F20,0)</f>
        <v>0</v>
      </c>
      <c r="H20" s="26" t="str">
        <f>IF(F20&gt;C20,"Renuncia no válida, el importe no puede ser negativo","")</f>
        <v/>
      </c>
      <c r="I20"/>
      <c r="BC20" s="7"/>
      <c r="BD20" s="500" t="str">
        <f>IF($J$48&lt;&gt;"","",IF($J$53&gt;0," ",B20))</f>
        <v>Manutención:</v>
      </c>
      <c r="BE20" s="526">
        <f>IF($J$48&lt;&gt;"","",IF($J$53&gt;0," ",C20))</f>
        <v>0</v>
      </c>
      <c r="BF20" s="526"/>
      <c r="BG20" s="1530" t="str">
        <f>IF($J$53&gt;0," ",D20)</f>
        <v>Manutención:</v>
      </c>
      <c r="BH20" s="1531"/>
      <c r="BI20" s="531">
        <f>IF($J$48&lt;&gt;"","",IF($J$53&gt;0," ",F20))</f>
        <v>0</v>
      </c>
      <c r="BJ20" s="519">
        <f t="shared" si="0"/>
        <v>0</v>
      </c>
      <c r="BK20" s="26" t="str">
        <f t="shared" si="1"/>
        <v/>
      </c>
    </row>
    <row r="21" spans="2:63" ht="15" customHeight="1" x14ac:dyDescent="0.25">
      <c r="B21" s="501" t="s">
        <v>650</v>
      </c>
      <c r="C21" s="526">
        <f>IF(C34&lt;&gt;0,0,'LIQUIDACIÓN-GASTOS'!AR51)</f>
        <v>0</v>
      </c>
      <c r="D21" s="1536" t="s">
        <v>650</v>
      </c>
      <c r="E21" s="1537"/>
      <c r="F21" s="521">
        <v>0</v>
      </c>
      <c r="G21" s="681">
        <f>IFERROR(C21-F21,0)</f>
        <v>0</v>
      </c>
      <c r="H21" s="26" t="str">
        <f>IF(F21&gt;C21,"Renuncia no válida, el importe no puede ser negativo","")</f>
        <v/>
      </c>
      <c r="I21"/>
      <c r="BC21" s="7"/>
      <c r="BD21" s="500" t="str">
        <f>IF($J$48&lt;&gt;"","",IF($J$53&gt;0," ",B21))</f>
        <v>Alojamiento:</v>
      </c>
      <c r="BE21" s="526">
        <f>IF($J$48&lt;&gt;"","",IF($J$53&gt;0," ",C21))</f>
        <v>0</v>
      </c>
      <c r="BF21" s="526"/>
      <c r="BG21" s="1530" t="str">
        <f>IF($J$53&gt;0," ",D21)</f>
        <v>Alojamiento:</v>
      </c>
      <c r="BH21" s="1531"/>
      <c r="BI21" s="531">
        <f>IF($J$48&lt;&gt;"","",IF($J$53&gt;0," ",F21))</f>
        <v>0</v>
      </c>
      <c r="BJ21" s="519">
        <f t="shared" si="0"/>
        <v>0</v>
      </c>
      <c r="BK21" s="26" t="str">
        <f t="shared" si="1"/>
        <v/>
      </c>
    </row>
    <row r="22" spans="2:63" ht="15" customHeight="1" x14ac:dyDescent="0.25">
      <c r="B22" s="502"/>
      <c r="C22" s="506"/>
      <c r="D22" s="522"/>
      <c r="E22" s="506"/>
      <c r="F22" s="393"/>
      <c r="G22" s="7"/>
      <c r="H22" s="7"/>
      <c r="I22"/>
      <c r="BC22" s="7"/>
      <c r="BD22" s="500"/>
      <c r="BE22" s="506"/>
      <c r="BF22" s="506"/>
      <c r="BG22" s="522"/>
      <c r="BH22" s="506"/>
      <c r="BI22" s="534"/>
      <c r="BJ22" s="519"/>
      <c r="BK22" s="26"/>
    </row>
    <row r="23" spans="2:63" ht="15" customHeight="1" x14ac:dyDescent="0.25">
      <c r="B23" s="500" t="str">
        <f>FORMULARIO!H143</f>
        <v>ELIJA EL PAÍS          ▼</v>
      </c>
      <c r="C23" s="18" t="s">
        <v>652</v>
      </c>
      <c r="D23" s="1530" t="str">
        <f>FORMULARIO!H143</f>
        <v>ELIJA EL PAÍS          ▼</v>
      </c>
      <c r="E23" s="1531"/>
      <c r="F23" s="393"/>
      <c r="G23" s="7"/>
      <c r="H23" s="7"/>
      <c r="I23"/>
      <c r="BC23" s="7"/>
      <c r="BD23" s="500" t="str">
        <f>IF($J$48&lt;&gt;"","",IF($J$53&gt;0," ",B23))</f>
        <v>ELIJA EL PAÍS          ▼</v>
      </c>
      <c r="BE23" s="506"/>
      <c r="BF23" s="506"/>
      <c r="BG23" s="1530" t="str">
        <f>IF($J$53&gt;0," ",B23)</f>
        <v>ELIJA EL PAÍS          ▼</v>
      </c>
      <c r="BH23" s="1531"/>
      <c r="BI23" s="534"/>
      <c r="BJ23" s="519"/>
      <c r="BK23" s="26"/>
    </row>
    <row r="24" spans="2:63" ht="15" customHeight="1" x14ac:dyDescent="0.25">
      <c r="B24" s="501" t="s">
        <v>649</v>
      </c>
      <c r="C24" s="526">
        <f>IF(C34&lt;&gt;0,0,'LIQUIDACIÓN-GASTOS'!AS63)</f>
        <v>0</v>
      </c>
      <c r="D24" s="1536" t="s">
        <v>649</v>
      </c>
      <c r="E24" s="1537"/>
      <c r="F24" s="521">
        <v>0</v>
      </c>
      <c r="G24" s="681">
        <f>IFERROR(C24-F24,0)</f>
        <v>0</v>
      </c>
      <c r="H24" s="26" t="str">
        <f>IF(F24&gt;C24,"Renuncia no válida, el importe no puede ser negativo","")</f>
        <v/>
      </c>
      <c r="I24"/>
      <c r="M24"/>
      <c r="BC24" s="7"/>
      <c r="BD24" s="500" t="str">
        <f>IF($J$48&lt;&gt;"","",IF($J$53&gt;0," ",B24))</f>
        <v>Manutención:</v>
      </c>
      <c r="BE24" s="526">
        <f>IF($J$48&lt;&gt;"","",IF($J$53&gt;0," ",C24))</f>
        <v>0</v>
      </c>
      <c r="BF24" s="526"/>
      <c r="BG24" s="1530" t="str">
        <f>IF($J$53&gt;0," ",B24)</f>
        <v>Manutención:</v>
      </c>
      <c r="BH24" s="1531"/>
      <c r="BI24" s="531">
        <f t="shared" ref="BI24:BI44" si="2">IF($J$48&lt;&gt;"","",IF($J$53&gt;0," ",F24))</f>
        <v>0</v>
      </c>
      <c r="BJ24" s="519">
        <f t="shared" si="0"/>
        <v>0</v>
      </c>
      <c r="BK24" s="26" t="str">
        <f t="shared" si="1"/>
        <v/>
      </c>
    </row>
    <row r="25" spans="2:63" ht="15" customHeight="1" x14ac:dyDescent="0.25">
      <c r="B25" s="501" t="s">
        <v>650</v>
      </c>
      <c r="C25" s="526">
        <f>IF(C34&lt;&gt;0,0,'LIQUIDACIÓN-GASTOS'!AR61)</f>
        <v>0</v>
      </c>
      <c r="D25" s="1536" t="s">
        <v>650</v>
      </c>
      <c r="E25" s="1537"/>
      <c r="F25" s="521">
        <v>0</v>
      </c>
      <c r="G25" s="681">
        <f>IFERROR(C25-F25,0)</f>
        <v>0</v>
      </c>
      <c r="H25" s="26" t="str">
        <f>IF(F25&gt;C25,"Renuncia no válida, el importe no puede ser negativo","")</f>
        <v/>
      </c>
      <c r="I25"/>
      <c r="BC25" s="7"/>
      <c r="BD25" s="500" t="str">
        <f>IF($J$48&lt;&gt;"","",IF($J$53&gt;0," ",B25))</f>
        <v>Alojamiento:</v>
      </c>
      <c r="BE25" s="526">
        <f>IF($J$48&lt;&gt;"","",IF($J$53&gt;0," ",C25))</f>
        <v>0</v>
      </c>
      <c r="BF25" s="526"/>
      <c r="BG25" s="1530" t="str">
        <f>IF($J$53&gt;0," ",B25)</f>
        <v>Alojamiento:</v>
      </c>
      <c r="BH25" s="1531"/>
      <c r="BI25" s="531">
        <f t="shared" si="2"/>
        <v>0</v>
      </c>
      <c r="BJ25" s="519">
        <f t="shared" si="0"/>
        <v>0</v>
      </c>
      <c r="BK25" s="26" t="str">
        <f t="shared" si="1"/>
        <v/>
      </c>
    </row>
    <row r="26" spans="2:63" ht="15" customHeight="1" x14ac:dyDescent="0.25">
      <c r="B26" s="502"/>
      <c r="C26" s="506"/>
      <c r="D26" s="522"/>
      <c r="E26" s="506"/>
      <c r="F26" s="393"/>
      <c r="G26" s="7"/>
      <c r="H26" s="7"/>
      <c r="I26"/>
      <c r="BC26" s="7"/>
      <c r="BD26" s="500"/>
      <c r="BE26" s="526"/>
      <c r="BF26" s="506"/>
      <c r="BG26" s="522"/>
      <c r="BH26" s="506"/>
      <c r="BI26" s="534"/>
      <c r="BJ26" s="519"/>
      <c r="BK26" s="26"/>
    </row>
    <row r="27" spans="2:63" ht="15" customHeight="1" x14ac:dyDescent="0.25">
      <c r="B27" s="500" t="str">
        <f>FORMULARIO!H160</f>
        <v>ELIJA EL PAÍS          ▼</v>
      </c>
      <c r="C27" s="18" t="s">
        <v>653</v>
      </c>
      <c r="D27" s="1530" t="str">
        <f>FORMULARIO!H160</f>
        <v>ELIJA EL PAÍS          ▼</v>
      </c>
      <c r="E27" s="1531"/>
      <c r="F27" s="393"/>
      <c r="G27" s="7"/>
      <c r="H27" s="7"/>
      <c r="I27"/>
      <c r="BC27" s="7"/>
      <c r="BD27" s="500" t="str">
        <f>IF($J$48&lt;&gt;"","",IF($J$53&gt;0," ",B27))</f>
        <v>ELIJA EL PAÍS          ▼</v>
      </c>
      <c r="BE27" s="526"/>
      <c r="BF27" s="506"/>
      <c r="BG27" s="1530" t="str">
        <f>IF($J$53&gt;0," ",B27)</f>
        <v>ELIJA EL PAÍS          ▼</v>
      </c>
      <c r="BH27" s="1531"/>
      <c r="BI27" s="534"/>
      <c r="BJ27" s="519"/>
      <c r="BK27" s="26"/>
    </row>
    <row r="28" spans="2:63" ht="15" customHeight="1" x14ac:dyDescent="0.25">
      <c r="B28" s="501" t="s">
        <v>649</v>
      </c>
      <c r="C28" s="526">
        <f>IF(C34&lt;&gt;0,0,'LIQUIDACIÓN-GASTOS'!AS75)</f>
        <v>0</v>
      </c>
      <c r="D28" s="1536" t="s">
        <v>649</v>
      </c>
      <c r="E28" s="1537"/>
      <c r="F28" s="521">
        <v>0</v>
      </c>
      <c r="G28" s="681">
        <f>IFERROR(C28-F28,0)</f>
        <v>0</v>
      </c>
      <c r="H28" s="26" t="str">
        <f>IF(F28&gt;C28,"Renuncia no válida, el importe no puede ser negativo","")</f>
        <v/>
      </c>
      <c r="I28"/>
      <c r="BC28" s="7"/>
      <c r="BD28" s="500" t="str">
        <f>IF($J$48&lt;&gt;"","",IF($J$53&gt;0," ",B28))</f>
        <v>Manutención:</v>
      </c>
      <c r="BE28" s="526">
        <f t="shared" ref="BE28:BE33" si="3">IF($J$48&lt;&gt;"","",IF($J$53&gt;0," ",C28))</f>
        <v>0</v>
      </c>
      <c r="BF28" s="526"/>
      <c r="BG28" s="1530" t="str">
        <f>IF($J$53&gt;0," ",B28)</f>
        <v>Manutención:</v>
      </c>
      <c r="BH28" s="1531"/>
      <c r="BI28" s="531">
        <f t="shared" si="2"/>
        <v>0</v>
      </c>
      <c r="BJ28" s="519">
        <f t="shared" si="0"/>
        <v>0</v>
      </c>
      <c r="BK28" s="26" t="str">
        <f t="shared" si="1"/>
        <v/>
      </c>
    </row>
    <row r="29" spans="2:63" ht="15" customHeight="1" x14ac:dyDescent="0.25">
      <c r="B29" s="501" t="s">
        <v>650</v>
      </c>
      <c r="C29" s="526">
        <f>IF(C34&lt;&gt;0,0,'LIQUIDACIÓN-GASTOS'!AR73)</f>
        <v>0</v>
      </c>
      <c r="D29" s="1536" t="s">
        <v>650</v>
      </c>
      <c r="E29" s="1537"/>
      <c r="F29" s="521">
        <v>0</v>
      </c>
      <c r="G29" s="681">
        <f>IFERROR(C29-F29,0)</f>
        <v>0</v>
      </c>
      <c r="H29" s="26" t="str">
        <f>IF(F29&gt;C29,"Renuncia no válida, el importe no puede ser negativo","")</f>
        <v/>
      </c>
      <c r="I29"/>
      <c r="BC29" s="7"/>
      <c r="BD29" s="500" t="str">
        <f>IF($J$48&lt;&gt;"","",IF($J$53&gt;0," ",B29))</f>
        <v>Alojamiento:</v>
      </c>
      <c r="BE29" s="526">
        <f t="shared" si="3"/>
        <v>0</v>
      </c>
      <c r="BF29" s="526"/>
      <c r="BG29" s="1530" t="str">
        <f>IF($J$53&gt;0," ",B29)</f>
        <v>Alojamiento:</v>
      </c>
      <c r="BH29" s="1531"/>
      <c r="BI29" s="531">
        <f t="shared" si="2"/>
        <v>0</v>
      </c>
      <c r="BJ29" s="519">
        <f t="shared" si="0"/>
        <v>0</v>
      </c>
      <c r="BK29" s="26" t="str">
        <f t="shared" si="1"/>
        <v/>
      </c>
    </row>
    <row r="30" spans="2:63" ht="15" customHeight="1" x14ac:dyDescent="0.25">
      <c r="B30" s="502"/>
      <c r="C30" s="506"/>
      <c r="D30" s="522"/>
      <c r="E30" s="506"/>
      <c r="F30" s="393"/>
      <c r="G30" s="7"/>
      <c r="H30" s="7"/>
      <c r="I30"/>
      <c r="BC30" s="7"/>
      <c r="BD30" s="500"/>
      <c r="BE30" s="526"/>
      <c r="BF30" s="506"/>
      <c r="BG30" s="522"/>
      <c r="BH30" s="506"/>
      <c r="BI30" s="534"/>
      <c r="BJ30" s="519"/>
      <c r="BK30" s="26"/>
    </row>
    <row r="31" spans="2:63" ht="15" customHeight="1" x14ac:dyDescent="0.25">
      <c r="B31" s="500" t="s">
        <v>654</v>
      </c>
      <c r="C31" s="506"/>
      <c r="D31" s="1530" t="s">
        <v>654</v>
      </c>
      <c r="E31" s="1531"/>
      <c r="F31" s="393"/>
      <c r="G31" s="7"/>
      <c r="H31" s="7"/>
      <c r="I31"/>
      <c r="BC31" s="7"/>
      <c r="BD31" s="500" t="str">
        <f>IF($J$48&lt;&gt;"","",IF($J$53&gt;0," ",B31))</f>
        <v>Territorio Nacional  Regreso:</v>
      </c>
      <c r="BE31" s="526"/>
      <c r="BF31" s="506"/>
      <c r="BG31" s="1530" t="str">
        <f>IF($J$53&gt;0," ",B31)</f>
        <v>Territorio Nacional  Regreso:</v>
      </c>
      <c r="BH31" s="1531"/>
      <c r="BI31" s="534"/>
      <c r="BJ31" s="519"/>
      <c r="BK31" s="26"/>
    </row>
    <row r="32" spans="2:63" ht="15" customHeight="1" x14ac:dyDescent="0.25">
      <c r="B32" s="501" t="s">
        <v>649</v>
      </c>
      <c r="C32" s="526">
        <f>IF(C34&lt;&gt;0,0,'LIQUIDACIÓN-GASTOS'!AR41)</f>
        <v>0</v>
      </c>
      <c r="D32" s="1536" t="s">
        <v>649</v>
      </c>
      <c r="E32" s="1537"/>
      <c r="F32" s="521">
        <v>0</v>
      </c>
      <c r="G32" s="681">
        <f>IFERROR(C32-F32,0)</f>
        <v>0</v>
      </c>
      <c r="H32" s="26" t="str">
        <f>IF(F32&gt;C32,"Renuncia no válida, el importe no puede ser negativo","")</f>
        <v/>
      </c>
      <c r="I32"/>
      <c r="M32"/>
      <c r="BC32" s="7"/>
      <c r="BD32" s="500" t="str">
        <f>IF($J$48&lt;&gt;"","",IF($J$53&gt;0," ",B32))</f>
        <v>Manutención:</v>
      </c>
      <c r="BE32" s="526">
        <f t="shared" si="3"/>
        <v>0</v>
      </c>
      <c r="BF32" s="526"/>
      <c r="BG32" s="1530" t="str">
        <f>IF($J$53&gt;0," ",B32)</f>
        <v>Manutención:</v>
      </c>
      <c r="BH32" s="1531"/>
      <c r="BI32" s="531">
        <f t="shared" si="2"/>
        <v>0</v>
      </c>
      <c r="BJ32" s="519">
        <f t="shared" si="0"/>
        <v>0</v>
      </c>
      <c r="BK32" s="26" t="str">
        <f t="shared" si="1"/>
        <v/>
      </c>
    </row>
    <row r="33" spans="2:64" ht="15" customHeight="1" x14ac:dyDescent="0.25">
      <c r="B33" s="501" t="s">
        <v>650</v>
      </c>
      <c r="C33" s="526">
        <f>IF(C34&lt;&gt;0,0,'LIQUIDACIÓN-GASTOS'!AR39)</f>
        <v>0</v>
      </c>
      <c r="D33" s="1536" t="s">
        <v>650</v>
      </c>
      <c r="E33" s="1537"/>
      <c r="F33" s="521">
        <v>0</v>
      </c>
      <c r="G33" s="681">
        <f>IFERROR(C33-F33,0)</f>
        <v>0</v>
      </c>
      <c r="H33" s="26" t="str">
        <f>IF(F33&gt;C33,"Renuncia no válida, el importe no puede ser negativo","")</f>
        <v/>
      </c>
      <c r="I33"/>
      <c r="BC33" s="7"/>
      <c r="BD33" s="500" t="str">
        <f>IF($J$48&lt;&gt;"","",IF($J$53&gt;0," ",B33))</f>
        <v>Alojamiento:</v>
      </c>
      <c r="BE33" s="526">
        <f t="shared" si="3"/>
        <v>0</v>
      </c>
      <c r="BF33" s="526"/>
      <c r="BG33" s="1530" t="str">
        <f>IF($J$53&gt;0," ",B33)</f>
        <v>Alojamiento:</v>
      </c>
      <c r="BH33" s="1531"/>
      <c r="BI33" s="531">
        <f t="shared" si="2"/>
        <v>0</v>
      </c>
      <c r="BJ33" s="519">
        <f t="shared" si="0"/>
        <v>0</v>
      </c>
      <c r="BK33" s="26" t="str">
        <f t="shared" si="1"/>
        <v/>
      </c>
    </row>
    <row r="34" spans="2:64" ht="15" customHeight="1" x14ac:dyDescent="0.25">
      <c r="B34" s="1183" t="s">
        <v>1213</v>
      </c>
      <c r="C34" s="1184">
        <f>IF(OR('LIQUIDACIÓN-GASTOS'!AN55&lt;&gt;"",'LIQUIDACIÓN-GASTOS'!AN32&lt;&gt;"",'LIQUIDACIÓN-GASTOS'!AN55&lt;&gt;"",'LIQUIDACIÓN-GASTOS'!AN66&lt;&gt;"",'LIQUIDACIÓN-GASTOS'!AN77&lt;&gt;""),'LIQUIDACIÓN-GASTOS'!AO31+'LIQUIDACIÓN-GASTOS'!AO54+'LIQUIDACIÓN-GASTOS'!AO65+'LIQUIDACIÓN-GASTOS'!AO76,0)</f>
        <v>0</v>
      </c>
      <c r="D34" s="522"/>
      <c r="E34" s="506"/>
      <c r="F34" s="1200">
        <v>0</v>
      </c>
      <c r="G34" s="1182">
        <f>IFERROR(C34-F34,0)</f>
        <v>0</v>
      </c>
      <c r="H34" s="7"/>
      <c r="BC34" s="7"/>
      <c r="BD34" s="500" t="str">
        <f>IF($J$48&lt;&gt;"","",IF($J$53&gt;0," ",B34))</f>
        <v>BOLSA:</v>
      </c>
      <c r="BE34" s="506"/>
      <c r="BF34" s="506"/>
      <c r="BG34" s="522"/>
      <c r="BH34" s="506"/>
      <c r="BI34" s="534"/>
      <c r="BJ34" s="519"/>
      <c r="BK34" s="26"/>
    </row>
    <row r="35" spans="2:64" ht="15" customHeight="1" x14ac:dyDescent="0.25">
      <c r="B35" s="500" t="s">
        <v>655</v>
      </c>
      <c r="C35" s="506"/>
      <c r="D35" s="1530" t="s">
        <v>655</v>
      </c>
      <c r="E35" s="1531"/>
      <c r="F35" s="393"/>
      <c r="G35" s="7"/>
      <c r="H35" s="7"/>
      <c r="BC35" s="7"/>
      <c r="BD35" s="500" t="str">
        <f t="shared" ref="BD35:BD42" si="4">IF($J$48&lt;&gt;"","",IF($J$53&gt;0," ",B35))</f>
        <v>Locomoción:</v>
      </c>
      <c r="BE35" s="506"/>
      <c r="BF35" s="506"/>
      <c r="BG35" s="1530" t="s">
        <v>655</v>
      </c>
      <c r="BH35" s="1531"/>
      <c r="BI35" s="534"/>
      <c r="BJ35" s="519"/>
      <c r="BK35" s="26"/>
    </row>
    <row r="36" spans="2:64" ht="15" customHeight="1" x14ac:dyDescent="0.25">
      <c r="B36" s="503" t="str">
        <f>'LIQUIDACIÓN-GASTOS'!AC17&amp;"" &amp;"" &amp;'LIQUIDACIÓN-GASTOS'!AD17</f>
        <v>0</v>
      </c>
      <c r="C36" s="527">
        <f>'LIQUIDACIÓN-GASTOS'!AG17</f>
        <v>0</v>
      </c>
      <c r="D36" s="1534" t="str">
        <f>'LIQUIDACIÓN-GASTOS'!AC17&amp;"" &amp;"" &amp;'LIQUIDACIÓN-GASTOS'!AD17</f>
        <v>0</v>
      </c>
      <c r="E36" s="1535"/>
      <c r="F36" s="521">
        <v>0</v>
      </c>
      <c r="G36" s="681">
        <f>IFERROR(C36-F36,0)</f>
        <v>0</v>
      </c>
      <c r="H36" s="26" t="str">
        <f t="shared" ref="H36:H43" si="5">IF(F36&gt;C36,"Renuncia no válida, el importe no puede ser negativo","")</f>
        <v/>
      </c>
      <c r="I36" s="1519"/>
      <c r="BC36" s="7"/>
      <c r="BD36" s="500" t="str">
        <f t="shared" si="4"/>
        <v>0</v>
      </c>
      <c r="BE36" s="527">
        <f t="shared" ref="BE36:BE42" si="6">IF($J$48&lt;&gt;"","",IF($J$53&gt;0," ",C36))</f>
        <v>0</v>
      </c>
      <c r="BF36" s="527"/>
      <c r="BG36" s="1534" t="str">
        <f t="shared" ref="BG36:BG42" si="7">IF($J$53&gt;0," ",B36)</f>
        <v>0</v>
      </c>
      <c r="BH36" s="1535"/>
      <c r="BI36" s="531">
        <f t="shared" si="2"/>
        <v>0</v>
      </c>
      <c r="BJ36" s="519">
        <f t="shared" si="0"/>
        <v>0</v>
      </c>
      <c r="BK36" s="26" t="str">
        <f t="shared" si="1"/>
        <v/>
      </c>
    </row>
    <row r="37" spans="2:64" ht="15" customHeight="1" x14ac:dyDescent="0.25">
      <c r="B37" s="504" t="str">
        <f>'LIQUIDACIÓN-GASTOS'!AC18</f>
        <v/>
      </c>
      <c r="C37" s="527">
        <f>'LIQUIDACIÓN-GASTOS'!AD18</f>
        <v>0</v>
      </c>
      <c r="D37" s="1532" t="str">
        <f>'LIQUIDACIÓN-GASTOS'!AC18</f>
        <v/>
      </c>
      <c r="E37" s="1533"/>
      <c r="F37" s="521">
        <v>0</v>
      </c>
      <c r="G37" s="681">
        <f>IFERROR(C37-F37,0)</f>
        <v>0</v>
      </c>
      <c r="H37" s="26" t="str">
        <f t="shared" si="5"/>
        <v/>
      </c>
      <c r="I37" s="1519"/>
      <c r="BC37" s="7"/>
      <c r="BD37" s="500" t="str">
        <f t="shared" si="4"/>
        <v/>
      </c>
      <c r="BE37" s="527">
        <f t="shared" si="6"/>
        <v>0</v>
      </c>
      <c r="BF37" s="527"/>
      <c r="BG37" s="1534" t="str">
        <f t="shared" si="7"/>
        <v/>
      </c>
      <c r="BH37" s="1535"/>
      <c r="BI37" s="531">
        <f t="shared" si="2"/>
        <v>0</v>
      </c>
      <c r="BJ37" s="519">
        <f t="shared" si="0"/>
        <v>0</v>
      </c>
      <c r="BK37" s="26" t="str">
        <f t="shared" si="1"/>
        <v/>
      </c>
    </row>
    <row r="38" spans="2:64" ht="15" customHeight="1" x14ac:dyDescent="0.25">
      <c r="B38" s="504" t="str">
        <f>'LIQUIDACIÓN-GASTOS'!AC19</f>
        <v/>
      </c>
      <c r="C38" s="527">
        <f>'LIQUIDACIÓN-GASTOS'!AD19</f>
        <v>0</v>
      </c>
      <c r="D38" s="1532" t="str">
        <f>'LIQUIDACIÓN-GASTOS'!AC19</f>
        <v/>
      </c>
      <c r="E38" s="1533"/>
      <c r="F38" s="521">
        <v>0</v>
      </c>
      <c r="G38" s="681">
        <f t="shared" ref="G38:G43" si="8">IFERROR(C38-F38,0)</f>
        <v>0</v>
      </c>
      <c r="H38" s="26" t="str">
        <f t="shared" si="5"/>
        <v/>
      </c>
      <c r="I38" s="1519"/>
      <c r="BC38" s="7"/>
      <c r="BD38" s="500" t="str">
        <f t="shared" si="4"/>
        <v/>
      </c>
      <c r="BE38" s="527">
        <f t="shared" si="6"/>
        <v>0</v>
      </c>
      <c r="BF38" s="527"/>
      <c r="BG38" s="1534" t="str">
        <f t="shared" si="7"/>
        <v/>
      </c>
      <c r="BH38" s="1535"/>
      <c r="BI38" s="531">
        <f t="shared" si="2"/>
        <v>0</v>
      </c>
      <c r="BJ38" s="519">
        <f t="shared" si="0"/>
        <v>0</v>
      </c>
      <c r="BK38" s="26" t="str">
        <f t="shared" si="1"/>
        <v/>
      </c>
    </row>
    <row r="39" spans="2:64" ht="15" customHeight="1" x14ac:dyDescent="0.25">
      <c r="B39" s="504" t="str">
        <f>'LIQUIDACIÓN-GASTOS'!AE18</f>
        <v/>
      </c>
      <c r="C39" s="527">
        <f>'LIQUIDACIÓN-GASTOS'!AF18</f>
        <v>0</v>
      </c>
      <c r="D39" s="1532" t="str">
        <f>'LIQUIDACIÓN-GASTOS'!AE18</f>
        <v/>
      </c>
      <c r="E39" s="1533"/>
      <c r="F39" s="521">
        <v>0</v>
      </c>
      <c r="G39" s="681">
        <f t="shared" si="8"/>
        <v>0</v>
      </c>
      <c r="H39" s="26" t="str">
        <f t="shared" si="5"/>
        <v/>
      </c>
      <c r="I39" s="1519"/>
      <c r="BC39" s="7"/>
      <c r="BD39" s="500" t="str">
        <f t="shared" si="4"/>
        <v/>
      </c>
      <c r="BE39" s="527">
        <f t="shared" si="6"/>
        <v>0</v>
      </c>
      <c r="BF39" s="527"/>
      <c r="BG39" s="1534" t="str">
        <f t="shared" si="7"/>
        <v/>
      </c>
      <c r="BH39" s="1535"/>
      <c r="BI39" s="531">
        <f t="shared" si="2"/>
        <v>0</v>
      </c>
      <c r="BJ39" s="519">
        <f t="shared" si="0"/>
        <v>0</v>
      </c>
      <c r="BK39" s="26" t="str">
        <f t="shared" si="1"/>
        <v/>
      </c>
    </row>
    <row r="40" spans="2:64" ht="15" customHeight="1" x14ac:dyDescent="0.25">
      <c r="B40" s="504" t="str">
        <f>'LIQUIDACIÓN-GASTOS'!AE19</f>
        <v/>
      </c>
      <c r="C40" s="527">
        <f>'LIQUIDACIÓN-GASTOS'!AF19</f>
        <v>0</v>
      </c>
      <c r="D40" s="1532" t="str">
        <f>'LIQUIDACIÓN-GASTOS'!AE19</f>
        <v/>
      </c>
      <c r="E40" s="1533"/>
      <c r="F40" s="521">
        <v>0</v>
      </c>
      <c r="G40" s="681">
        <f t="shared" si="8"/>
        <v>0</v>
      </c>
      <c r="H40" s="26" t="str">
        <f t="shared" si="5"/>
        <v/>
      </c>
      <c r="I40" s="1519"/>
      <c r="BC40" s="7"/>
      <c r="BD40" s="500" t="str">
        <f t="shared" si="4"/>
        <v/>
      </c>
      <c r="BE40" s="527">
        <f t="shared" si="6"/>
        <v>0</v>
      </c>
      <c r="BF40" s="527"/>
      <c r="BG40" s="1534" t="str">
        <f t="shared" si="7"/>
        <v/>
      </c>
      <c r="BH40" s="1535"/>
      <c r="BI40" s="531">
        <f t="shared" si="2"/>
        <v>0</v>
      </c>
      <c r="BJ40" s="519">
        <f t="shared" si="0"/>
        <v>0</v>
      </c>
      <c r="BK40" s="26" t="str">
        <f t="shared" si="1"/>
        <v/>
      </c>
    </row>
    <row r="41" spans="2:64" ht="15" customHeight="1" x14ac:dyDescent="0.25">
      <c r="B41" s="504" t="str">
        <f>'LIQUIDACIÓN-GASTOS'!AG18</f>
        <v/>
      </c>
      <c r="C41" s="527">
        <f>'LIQUIDACIÓN-GASTOS'!AH18</f>
        <v>0</v>
      </c>
      <c r="D41" s="1532" t="str">
        <f>'LIQUIDACIÓN-GASTOS'!AG18</f>
        <v/>
      </c>
      <c r="E41" s="1533"/>
      <c r="F41" s="521">
        <v>0</v>
      </c>
      <c r="G41" s="681">
        <f t="shared" si="8"/>
        <v>0</v>
      </c>
      <c r="H41" s="26" t="str">
        <f t="shared" si="5"/>
        <v/>
      </c>
      <c r="I41" s="1519"/>
      <c r="BC41" s="7"/>
      <c r="BD41" s="500" t="str">
        <f t="shared" si="4"/>
        <v/>
      </c>
      <c r="BE41" s="527">
        <f t="shared" si="6"/>
        <v>0</v>
      </c>
      <c r="BF41" s="527"/>
      <c r="BG41" s="1534" t="str">
        <f t="shared" si="7"/>
        <v/>
      </c>
      <c r="BH41" s="1535"/>
      <c r="BI41" s="531">
        <f t="shared" si="2"/>
        <v>0</v>
      </c>
      <c r="BJ41" s="519">
        <f t="shared" si="0"/>
        <v>0</v>
      </c>
      <c r="BK41" s="26" t="str">
        <f t="shared" si="1"/>
        <v/>
      </c>
    </row>
    <row r="42" spans="2:64" ht="15" customHeight="1" x14ac:dyDescent="0.25">
      <c r="B42" s="504" t="str">
        <f>'LIQUIDACIÓN-GASTOS'!AG19</f>
        <v/>
      </c>
      <c r="C42" s="527">
        <f>'LIQUIDACIÓN-GASTOS'!AH19</f>
        <v>0</v>
      </c>
      <c r="D42" s="1532" t="str">
        <f>'LIQUIDACIÓN-GASTOS'!AG19</f>
        <v/>
      </c>
      <c r="E42" s="1533"/>
      <c r="F42" s="521">
        <v>0</v>
      </c>
      <c r="G42" s="681">
        <f t="shared" si="8"/>
        <v>0</v>
      </c>
      <c r="H42" s="26" t="str">
        <f t="shared" si="5"/>
        <v/>
      </c>
      <c r="I42" s="1519"/>
      <c r="BC42" s="7"/>
      <c r="BD42" s="500" t="str">
        <f t="shared" si="4"/>
        <v/>
      </c>
      <c r="BE42" s="527">
        <f t="shared" si="6"/>
        <v>0</v>
      </c>
      <c r="BF42" s="527"/>
      <c r="BG42" s="1534" t="str">
        <f t="shared" si="7"/>
        <v/>
      </c>
      <c r="BH42" s="1535"/>
      <c r="BI42" s="531">
        <f t="shared" si="2"/>
        <v>0</v>
      </c>
      <c r="BJ42" s="519">
        <f t="shared" si="0"/>
        <v>0</v>
      </c>
      <c r="BK42" s="26" t="str">
        <f t="shared" si="1"/>
        <v/>
      </c>
    </row>
    <row r="43" spans="2:64" ht="15" customHeight="1" x14ac:dyDescent="0.25">
      <c r="B43" s="504" t="str">
        <f>'LIQUIDACIÓN-GASTOS'!AL21</f>
        <v/>
      </c>
      <c r="C43" s="527">
        <f>'LIQUIDACIÓN-GASTOS'!AM21</f>
        <v>0</v>
      </c>
      <c r="D43" s="523"/>
      <c r="E43" s="7" t="str">
        <f>'LIQUIDACIÓN-GASTOS'!AL21</f>
        <v/>
      </c>
      <c r="F43" s="521">
        <v>0</v>
      </c>
      <c r="G43" s="681">
        <f t="shared" si="8"/>
        <v>0</v>
      </c>
      <c r="H43" s="7" t="str">
        <f t="shared" si="5"/>
        <v/>
      </c>
      <c r="I43" s="1519"/>
      <c r="BC43" s="7"/>
      <c r="BD43" s="500"/>
      <c r="BE43" s="527"/>
      <c r="BF43" s="527"/>
      <c r="BG43" s="523"/>
      <c r="BH43" s="7"/>
      <c r="BI43" s="534">
        <f t="shared" si="2"/>
        <v>0</v>
      </c>
      <c r="BJ43" s="519">
        <f t="shared" si="0"/>
        <v>0</v>
      </c>
      <c r="BK43" s="26" t="str">
        <f t="shared" si="1"/>
        <v/>
      </c>
    </row>
    <row r="44" spans="2:64" ht="15" customHeight="1" x14ac:dyDescent="0.25">
      <c r="B44" s="505" t="s">
        <v>656</v>
      </c>
      <c r="C44" s="528">
        <f>'LIQUIDACIÓN-GASTOS'!AF21</f>
        <v>0</v>
      </c>
      <c r="D44" s="1530" t="s">
        <v>656</v>
      </c>
      <c r="E44" s="1531"/>
      <c r="F44" s="521">
        <v>0</v>
      </c>
      <c r="G44" s="681">
        <f>IFERROR(C44-F44,0)</f>
        <v>0</v>
      </c>
      <c r="H44" s="7" t="str">
        <f>IF(F44&gt;C44,"Renuncia no válida, el importe no puede ser negativo","")</f>
        <v/>
      </c>
      <c r="I44" s="1519"/>
      <c r="BC44" s="7"/>
      <c r="BD44" s="500" t="str">
        <f>IF($J$48&lt;&gt;"","",IF($J$53&gt;0," ",B44))</f>
        <v>Inscripcion.</v>
      </c>
      <c r="BE44" s="527">
        <f>IF($J$48&lt;&gt;"","",IF($J$53&gt;0," ",C44))</f>
        <v>0</v>
      </c>
      <c r="BF44" s="528"/>
      <c r="BG44" s="1530" t="str">
        <f>IF($J$53&gt;0," ",B44)</f>
        <v>Inscripcion.</v>
      </c>
      <c r="BH44" s="1531"/>
      <c r="BI44" s="531">
        <f t="shared" si="2"/>
        <v>0</v>
      </c>
      <c r="BJ44" s="519">
        <f t="shared" si="0"/>
        <v>0</v>
      </c>
      <c r="BK44" s="26" t="str">
        <f t="shared" si="1"/>
        <v/>
      </c>
    </row>
    <row r="45" spans="2:64" ht="15" customHeight="1" thickBot="1" x14ac:dyDescent="0.35">
      <c r="B45" s="683" t="s">
        <v>657</v>
      </c>
      <c r="C45" s="682">
        <f>'LIQUIDACIÓN-GASTOS'!AL78</f>
        <v>0</v>
      </c>
      <c r="D45" s="1526" t="s">
        <v>620</v>
      </c>
      <c r="E45" s="1527"/>
      <c r="F45" s="529">
        <f>IFERROR(SUM(F16+F17+F20+F21+F24+F25+F28+F29+F32+F33+F36+F37+F38+F39+F40+F41++F42+F43+F44+F34),0)</f>
        <v>0</v>
      </c>
      <c r="G45" s="530">
        <f>IFERROR(SUM(G16+G17+G20+G21+G24+G25+G28+G29+G32+G33+G36+G37+G38+G39+G40+G41+G42+G43+G44+G34),0)</f>
        <v>0</v>
      </c>
      <c r="H45" s="6"/>
      <c r="I45" s="26"/>
      <c r="BC45" s="7"/>
      <c r="BD45" s="536" t="str">
        <f>IF($J$48&lt;&gt;"","",IF($J$53&gt;0," ",B45))</f>
        <v>TOTAL SIN RENUNCIA</v>
      </c>
      <c r="BE45" s="537">
        <f>IF($J$48&lt;&gt;"","",IF($J$53&gt;0," ",C45))</f>
        <v>0</v>
      </c>
      <c r="BF45" s="538"/>
      <c r="BG45" s="1554" t="str">
        <f>IF($J$53&gt;0," ",D45)</f>
        <v xml:space="preserve">TOTAL </v>
      </c>
      <c r="BH45" s="1555"/>
      <c r="BI45" s="535">
        <f>IF($J$48&lt;&gt;"","",IF($J$53&gt;0," ",F45))</f>
        <v>0</v>
      </c>
      <c r="BJ45" s="539">
        <f t="shared" si="0"/>
        <v>0</v>
      </c>
      <c r="BK45" s="516">
        <f>IF($J$48&lt;&gt;"","",IF($J$53&gt;0," ",H45))</f>
        <v>0</v>
      </c>
      <c r="BL45" s="26"/>
    </row>
    <row r="46" spans="2:64" ht="15" customHeight="1" thickTop="1" x14ac:dyDescent="0.25">
      <c r="B46" s="7"/>
      <c r="C46" s="7"/>
      <c r="D46" s="7"/>
      <c r="E46" s="7"/>
      <c r="F46" s="7"/>
      <c r="G46" s="7"/>
      <c r="H46" s="7"/>
      <c r="BC46" s="7"/>
      <c r="BE46" s="7"/>
      <c r="BF46" s="7"/>
      <c r="BG46" s="7"/>
      <c r="BH46" s="7"/>
      <c r="BI46" s="7"/>
      <c r="BJ46" s="7"/>
      <c r="BK46" s="7"/>
    </row>
    <row r="47" spans="2:64" ht="15" customHeight="1" x14ac:dyDescent="0.3">
      <c r="B47" s="1185" t="str">
        <f>IF(OR(ANEXO!D388,ANEXO!D389&lt;&gt;""),"BOLSA","")</f>
        <v/>
      </c>
      <c r="C47" s="7"/>
      <c r="D47" s="7"/>
      <c r="E47" s="1528" t="s">
        <v>658</v>
      </c>
      <c r="F47" s="1529"/>
      <c r="G47" s="953">
        <f>IFERROR(SUM(G16+G17+G20+G21+G24+G25+G28+G29+G32+G33+G34+G36+G37+G38+G39+G40+G41+G42+G43+G44),0)</f>
        <v>0</v>
      </c>
      <c r="H47" s="1520" t="s">
        <v>659</v>
      </c>
      <c r="BC47" s="7"/>
      <c r="BE47" s="7"/>
      <c r="BF47" s="7"/>
      <c r="BG47" s="7"/>
      <c r="BH47" s="1556" t="str">
        <f>IF($J$48&lt;&gt;"","",IF($J$53&gt;0," ",E47))</f>
        <v xml:space="preserve">TOTAL A PERCIBIR </v>
      </c>
      <c r="BI47" s="1556"/>
      <c r="BJ47" s="517">
        <f>IF($J$48&lt;&gt;"","",IF($J$53&gt;0," ",G47))</f>
        <v>0</v>
      </c>
      <c r="BK47" s="96" t="str">
        <f>IF($J$48&lt;&gt;"","",IF($J$45&gt;0," ",H47))</f>
        <v>Desglose</v>
      </c>
    </row>
    <row r="48" spans="2:64" ht="15" customHeight="1" x14ac:dyDescent="0.3">
      <c r="B48" s="96" t="str">
        <f>IF('LIQUIDACIÓN-GASTOS'!AE80="SÍ"," De los "&amp;TEXT((C45),"#.###,00 €")&amp;" a mi favor renuncio a: "&amp;TEXT((F45),"#.###,00 €"),"")</f>
        <v/>
      </c>
      <c r="D48" s="7"/>
      <c r="E48" s="479"/>
      <c r="F48" s="954" t="s">
        <v>649</v>
      </c>
      <c r="G48" s="955">
        <f>IFERROR(G16+G20+G24+G28+G32,0)</f>
        <v>0</v>
      </c>
      <c r="H48" s="1521"/>
      <c r="BC48" s="7"/>
      <c r="BD48" s="542" t="str">
        <f>IF($J$48&lt;&gt;"","",IF($J$53&gt;0," ",B48))</f>
        <v/>
      </c>
      <c r="BE48" s="1553">
        <f>J48</f>
        <v>0</v>
      </c>
      <c r="BF48" s="1553"/>
      <c r="BG48" s="1553"/>
      <c r="BH48" s="7"/>
      <c r="BI48" s="96" t="str">
        <f>IF($J$48&lt;&gt;"","",IF($J$53&gt;0," ",F48))</f>
        <v>Manutención:</v>
      </c>
      <c r="BJ48" s="517">
        <f>IF($J$48&lt;&gt;"","",IF($J$53&gt;0," ",G48))</f>
        <v>0</v>
      </c>
      <c r="BK48" s="7"/>
    </row>
    <row r="49" spans="2:64" ht="15" customHeight="1" x14ac:dyDescent="0.3">
      <c r="B49" s="96"/>
      <c r="C49" s="7"/>
      <c r="D49" s="7"/>
      <c r="E49" s="479"/>
      <c r="F49" s="954" t="s">
        <v>660</v>
      </c>
      <c r="G49" s="955">
        <f>IFERROR(G17+G21+G25+G29+G33,0)</f>
        <v>0</v>
      </c>
      <c r="H49" s="1521"/>
      <c r="BC49" s="7"/>
      <c r="BD49" s="542">
        <f>IF($J$48&lt;&gt;"","",IF($J$53&gt;0," ",B49))</f>
        <v>0</v>
      </c>
      <c r="BE49" s="7"/>
      <c r="BF49" s="7"/>
      <c r="BG49" s="7"/>
      <c r="BH49" s="7"/>
      <c r="BI49" s="96" t="str">
        <f>IF($J$48&lt;&gt;"","",IF($J$53&gt;0," ",F49))</f>
        <v xml:space="preserve">Alojamiento: </v>
      </c>
      <c r="BJ49" s="517">
        <f>IF($J$48&lt;&gt;"","",IF($J$53&gt;0," ",G49))</f>
        <v>0</v>
      </c>
      <c r="BK49" s="7"/>
    </row>
    <row r="50" spans="2:64" ht="15" customHeight="1" x14ac:dyDescent="0.3">
      <c r="B50" s="96"/>
      <c r="C50" s="7"/>
      <c r="D50" s="7"/>
      <c r="E50" s="479"/>
      <c r="F50" s="954" t="s">
        <v>655</v>
      </c>
      <c r="G50" s="955">
        <f>IFERROR(G36+G37+G38+G39+G40+G41+G42,0)</f>
        <v>0</v>
      </c>
      <c r="H50" s="1521"/>
      <c r="BC50" s="7"/>
      <c r="BD50" s="542">
        <f>IF($J$48&lt;&gt;"","",IF($J$53&gt;0," ",B50))</f>
        <v>0</v>
      </c>
      <c r="BE50" s="7"/>
      <c r="BF50" s="7"/>
      <c r="BG50" s="7"/>
      <c r="BH50" s="7"/>
      <c r="BI50" s="96" t="str">
        <f>IF($J$48&lt;&gt;"","",IF($J$53&gt;0," ",F50))</f>
        <v>Locomoción:</v>
      </c>
      <c r="BJ50" s="517">
        <f>IF($J$48&lt;&gt;"","",IF($J$53&gt;0," ",G50))</f>
        <v>0</v>
      </c>
      <c r="BK50" s="7"/>
    </row>
    <row r="51" spans="2:64" ht="15" customHeight="1" x14ac:dyDescent="0.3">
      <c r="B51" s="7"/>
      <c r="C51" s="7"/>
      <c r="D51" s="7"/>
      <c r="E51" s="479"/>
      <c r="F51" s="954" t="s">
        <v>661</v>
      </c>
      <c r="G51" s="955">
        <f>IFERROR(G44,0)</f>
        <v>0</v>
      </c>
      <c r="H51" s="1521"/>
      <c r="BC51" s="7"/>
      <c r="BE51" s="7"/>
      <c r="BF51" s="7"/>
      <c r="BG51" s="7"/>
      <c r="BH51" s="7"/>
      <c r="BI51" s="96" t="str">
        <f>IF($J$48&lt;&gt;"","",IF($J$53&gt;0," ",F51))</f>
        <v>Inscripción:</v>
      </c>
      <c r="BJ51" s="517">
        <f>IF($J$48&lt;&gt;"","",IF($J$53&gt;0," ",G51))</f>
        <v>0</v>
      </c>
      <c r="BK51" s="7"/>
    </row>
    <row r="52" spans="2:64" ht="15" customHeight="1" x14ac:dyDescent="0.3">
      <c r="B52" s="7"/>
      <c r="C52" s="7"/>
      <c r="D52" s="7"/>
      <c r="E52" s="497"/>
      <c r="F52" s="956" t="s">
        <v>662</v>
      </c>
      <c r="G52" s="957">
        <f>IFERROR(G43,0)</f>
        <v>0</v>
      </c>
      <c r="H52" s="1522"/>
      <c r="BC52" s="7"/>
      <c r="BE52" s="7"/>
      <c r="BF52" s="7"/>
      <c r="BG52" s="7"/>
      <c r="BH52" s="7"/>
      <c r="BI52" s="7" t="str">
        <f>IF($J$48&lt;&gt;"","",IF($J$53&gt;0," ",F52))</f>
        <v>otros gastos</v>
      </c>
      <c r="BJ52" s="7"/>
      <c r="BK52" s="7"/>
    </row>
    <row r="53" spans="2:64" ht="15" customHeight="1" x14ac:dyDescent="0.25">
      <c r="B53" s="1523" t="s">
        <v>663</v>
      </c>
      <c r="C53" s="1523"/>
      <c r="D53" s="1523"/>
      <c r="E53" s="1523"/>
      <c r="F53" s="1523"/>
      <c r="G53" s="1523"/>
      <c r="H53" s="1523"/>
      <c r="M53"/>
      <c r="BC53" s="7"/>
      <c r="BF53" s="480"/>
      <c r="BG53" s="1540"/>
      <c r="BH53" s="1540"/>
      <c r="BI53" s="1540"/>
      <c r="BJ53" s="1540"/>
      <c r="BK53" s="489"/>
    </row>
    <row r="54" spans="2:64" ht="15" customHeight="1" thickBot="1" x14ac:dyDescent="0.35">
      <c r="B54" s="7"/>
      <c r="C54" s="7"/>
      <c r="D54" s="7"/>
      <c r="E54" s="7"/>
      <c r="F54" s="7"/>
      <c r="G54" s="7"/>
      <c r="H54" s="7"/>
      <c r="BC54" s="7"/>
      <c r="BF54" s="1541"/>
      <c r="BG54" s="1541"/>
      <c r="BH54" s="1541"/>
      <c r="BI54" s="1541"/>
      <c r="BJ54" s="1541"/>
      <c r="BK54" s="1541"/>
    </row>
    <row r="55" spans="2:64" ht="15" customHeight="1" x14ac:dyDescent="0.25">
      <c r="B55" s="1524" t="s">
        <v>664</v>
      </c>
      <c r="C55"/>
      <c r="D55"/>
      <c r="E55"/>
      <c r="F55"/>
      <c r="G55"/>
      <c r="H55"/>
      <c r="I55"/>
      <c r="BC55" s="7"/>
      <c r="BF55" s="30"/>
      <c r="BG55" s="30"/>
      <c r="BH55" s="30"/>
      <c r="BI55" s="30"/>
      <c r="BJ55" s="30"/>
      <c r="BK55" s="30"/>
    </row>
    <row r="56" spans="2:64" ht="15" customHeight="1" thickBot="1" x14ac:dyDescent="0.3">
      <c r="B56" s="1525"/>
      <c r="C56"/>
      <c r="D56"/>
      <c r="E56"/>
      <c r="F56"/>
      <c r="G56"/>
      <c r="H56"/>
      <c r="I56"/>
      <c r="K56"/>
      <c r="BC56" s="7"/>
      <c r="BD56"/>
      <c r="BE56"/>
      <c r="BF56"/>
      <c r="BG56"/>
      <c r="BH56"/>
      <c r="BI56"/>
      <c r="BJ56"/>
      <c r="BK56"/>
      <c r="BL56"/>
    </row>
    <row r="57" spans="2:64" ht="15" customHeight="1" x14ac:dyDescent="0.25">
      <c r="B57" s="7"/>
      <c r="C57" s="7"/>
      <c r="D57" s="7"/>
      <c r="E57" s="7"/>
      <c r="F57" s="7"/>
      <c r="G57" s="7"/>
      <c r="H57" s="7"/>
      <c r="K57"/>
      <c r="BC57" s="7"/>
      <c r="BD57"/>
      <c r="BE57"/>
      <c r="BF57"/>
      <c r="BG57"/>
      <c r="BH57"/>
      <c r="BI57"/>
      <c r="BJ57"/>
      <c r="BK57"/>
      <c r="BL57"/>
    </row>
    <row r="58" spans="2:64" ht="15" customHeight="1" x14ac:dyDescent="0.25">
      <c r="B58" s="7"/>
      <c r="C58" s="7"/>
      <c r="D58" s="7"/>
      <c r="E58" s="7"/>
      <c r="F58" s="7"/>
      <c r="G58" s="7"/>
      <c r="H58" s="7"/>
      <c r="K58"/>
      <c r="BC58" s="7"/>
      <c r="BD58"/>
      <c r="BE58"/>
      <c r="BF58"/>
      <c r="BG58"/>
      <c r="BH58"/>
      <c r="BI58"/>
      <c r="BJ58"/>
      <c r="BK58"/>
      <c r="BL58"/>
    </row>
    <row r="59" spans="2:64" ht="15" customHeight="1" x14ac:dyDescent="0.25">
      <c r="B59" s="7"/>
      <c r="C59" s="7"/>
      <c r="D59" s="7"/>
      <c r="E59" s="7"/>
      <c r="F59" s="7"/>
      <c r="G59" s="7"/>
      <c r="H59" s="7"/>
      <c r="BC59" s="7"/>
      <c r="BD59"/>
      <c r="BE59"/>
      <c r="BF59"/>
      <c r="BG59"/>
      <c r="BH59"/>
      <c r="BI59"/>
      <c r="BJ59"/>
      <c r="BK59"/>
      <c r="BL59"/>
    </row>
    <row r="60" spans="2:64" ht="15" hidden="1" customHeight="1" x14ac:dyDescent="0.25">
      <c r="B60" s="7"/>
      <c r="C60" s="7"/>
      <c r="D60" s="7"/>
      <c r="E60" s="7"/>
      <c r="F60" s="7"/>
      <c r="G60" s="7"/>
      <c r="H60" s="7"/>
      <c r="BC60" s="7"/>
      <c r="BD60"/>
      <c r="BE60"/>
      <c r="BF60"/>
      <c r="BG60"/>
      <c r="BH60"/>
      <c r="BI60"/>
      <c r="BJ60"/>
      <c r="BK60"/>
      <c r="BL60"/>
    </row>
    <row r="61" spans="2:64" ht="13.2" hidden="1" customHeight="1" x14ac:dyDescent="0.25">
      <c r="B61" s="7"/>
      <c r="C61" s="7"/>
      <c r="D61" s="7"/>
      <c r="E61" s="7"/>
      <c r="F61" s="7"/>
      <c r="G61" s="7"/>
      <c r="H61" s="7"/>
      <c r="BC61" s="7"/>
      <c r="BD61"/>
      <c r="BE61"/>
      <c r="BF61"/>
      <c r="BG61"/>
      <c r="BH61"/>
      <c r="BI61"/>
      <c r="BJ61"/>
      <c r="BK61"/>
      <c r="BL61"/>
    </row>
    <row r="62" spans="2:64" x14ac:dyDescent="0.25">
      <c r="B62" s="7"/>
      <c r="C62" s="7"/>
      <c r="D62" s="7"/>
      <c r="E62" s="7"/>
      <c r="F62" s="7"/>
      <c r="G62" s="7"/>
      <c r="H62" s="7"/>
      <c r="BC62" s="7"/>
      <c r="BD62"/>
      <c r="BE62"/>
      <c r="BF62"/>
      <c r="BG62"/>
      <c r="BH62"/>
      <c r="BI62"/>
      <c r="BJ62"/>
      <c r="BK62"/>
      <c r="BL62"/>
    </row>
    <row r="63" spans="2:64" x14ac:dyDescent="0.25">
      <c r="B63" s="7"/>
      <c r="C63" s="7"/>
      <c r="D63" s="7"/>
      <c r="E63" s="7"/>
      <c r="F63" s="7"/>
      <c r="G63" s="7"/>
      <c r="H63" s="7"/>
      <c r="BC63" s="7"/>
      <c r="BD63"/>
      <c r="BE63"/>
      <c r="BF63"/>
      <c r="BG63"/>
      <c r="BH63"/>
      <c r="BI63"/>
      <c r="BJ63"/>
      <c r="BK63"/>
      <c r="BL63"/>
    </row>
    <row r="64" spans="2:64" x14ac:dyDescent="0.25">
      <c r="B64" s="7"/>
      <c r="C64" s="7"/>
      <c r="D64" s="7"/>
      <c r="E64" s="7"/>
      <c r="F64" s="7"/>
      <c r="G64" s="7"/>
      <c r="H64" s="7"/>
      <c r="BC64" s="7"/>
      <c r="BD64"/>
      <c r="BE64"/>
      <c r="BF64"/>
      <c r="BG64"/>
      <c r="BH64"/>
      <c r="BI64"/>
      <c r="BJ64"/>
      <c r="BK64"/>
      <c r="BL64"/>
    </row>
    <row r="65" spans="2:64" x14ac:dyDescent="0.25">
      <c r="B65" s="7"/>
      <c r="C65" s="7"/>
      <c r="D65" s="7"/>
      <c r="E65" s="7"/>
      <c r="F65" s="7"/>
      <c r="G65" s="7"/>
      <c r="H65" s="7"/>
      <c r="BC65" s="7"/>
      <c r="BD65"/>
      <c r="BE65"/>
      <c r="BF65"/>
      <c r="BG65"/>
      <c r="BH65"/>
      <c r="BI65"/>
      <c r="BJ65"/>
      <c r="BK65"/>
      <c r="BL65"/>
    </row>
    <row r="66" spans="2:64" x14ac:dyDescent="0.25">
      <c r="B66" s="7"/>
      <c r="C66" s="7"/>
      <c r="D66" s="7"/>
      <c r="E66" s="7"/>
      <c r="F66" s="7"/>
      <c r="G66" s="7"/>
      <c r="H66" s="7"/>
      <c r="BC66" s="219"/>
      <c r="BD66"/>
      <c r="BE66"/>
      <c r="BF66"/>
      <c r="BG66"/>
      <c r="BH66"/>
      <c r="BI66"/>
      <c r="BJ66"/>
      <c r="BK66"/>
      <c r="BL66"/>
    </row>
    <row r="67" spans="2:64" x14ac:dyDescent="0.25">
      <c r="B67" s="7"/>
      <c r="C67" s="7"/>
      <c r="D67" s="7"/>
      <c r="E67" s="7"/>
      <c r="F67" s="7"/>
      <c r="G67" s="7"/>
      <c r="H67" s="7"/>
      <c r="BC67" s="219"/>
      <c r="BD67"/>
      <c r="BE67"/>
      <c r="BF67"/>
      <c r="BG67"/>
      <c r="BH67"/>
      <c r="BI67"/>
      <c r="BJ67"/>
      <c r="BK67"/>
      <c r="BL67"/>
    </row>
    <row r="68" spans="2:64" x14ac:dyDescent="0.25">
      <c r="B68" s="7"/>
      <c r="C68" s="7"/>
      <c r="D68" s="7"/>
      <c r="E68" s="7"/>
      <c r="F68" s="7"/>
      <c r="G68" s="7"/>
      <c r="H68" s="7"/>
      <c r="BC68" s="219"/>
      <c r="BD68"/>
      <c r="BE68"/>
      <c r="BF68"/>
      <c r="BG68"/>
      <c r="BH68"/>
      <c r="BI68"/>
      <c r="BJ68"/>
      <c r="BK68"/>
      <c r="BL68"/>
    </row>
    <row r="69" spans="2:64" x14ac:dyDescent="0.25">
      <c r="B69" s="7"/>
      <c r="C69" s="7"/>
      <c r="D69" s="7"/>
      <c r="E69" s="7"/>
      <c r="F69" s="7"/>
      <c r="G69" s="7"/>
      <c r="H69" s="7"/>
      <c r="BC69" s="219"/>
      <c r="BD69"/>
      <c r="BE69"/>
      <c r="BF69"/>
      <c r="BG69"/>
      <c r="BH69"/>
      <c r="BI69"/>
      <c r="BJ69"/>
      <c r="BK69"/>
      <c r="BL69"/>
    </row>
    <row r="70" spans="2:64" x14ac:dyDescent="0.25">
      <c r="B70" s="7"/>
      <c r="C70" s="7"/>
      <c r="D70" s="7"/>
      <c r="E70" s="7"/>
      <c r="F70" s="7"/>
      <c r="G70" s="7"/>
      <c r="H70" s="7"/>
      <c r="BC70" s="219"/>
      <c r="BD70"/>
      <c r="BE70"/>
      <c r="BF70"/>
      <c r="BG70"/>
      <c r="BH70"/>
      <c r="BI70"/>
      <c r="BJ70"/>
      <c r="BK70"/>
      <c r="BL70"/>
    </row>
    <row r="71" spans="2:64" x14ac:dyDescent="0.25">
      <c r="B71" s="7"/>
      <c r="C71" s="7"/>
      <c r="D71" s="7"/>
      <c r="E71" s="7"/>
      <c r="F71" s="7"/>
      <c r="G71" s="7"/>
      <c r="H71" s="7"/>
      <c r="BC71" s="219"/>
      <c r="BD71"/>
      <c r="BE71"/>
      <c r="BF71"/>
      <c r="BG71"/>
      <c r="BH71"/>
      <c r="BI71"/>
      <c r="BJ71"/>
      <c r="BK71"/>
      <c r="BL71"/>
    </row>
    <row r="72" spans="2:64" x14ac:dyDescent="0.25">
      <c r="B72" s="7"/>
      <c r="C72" s="7"/>
      <c r="D72" s="7"/>
      <c r="E72" s="7"/>
      <c r="F72" s="7"/>
      <c r="G72" s="7"/>
      <c r="H72" s="7"/>
      <c r="BC72" s="219"/>
      <c r="BD72"/>
      <c r="BE72"/>
      <c r="BF72"/>
      <c r="BG72"/>
      <c r="BH72"/>
      <c r="BI72"/>
      <c r="BJ72"/>
      <c r="BK72"/>
      <c r="BL72"/>
    </row>
    <row r="73" spans="2:64" x14ac:dyDescent="0.25">
      <c r="B73" s="7"/>
      <c r="C73" s="7"/>
      <c r="D73" s="7"/>
      <c r="E73" s="7"/>
      <c r="F73" s="7"/>
      <c r="G73" s="7"/>
      <c r="H73" s="7"/>
      <c r="BC73" s="219"/>
      <c r="BD73"/>
      <c r="BE73"/>
      <c r="BF73"/>
      <c r="BG73"/>
      <c r="BH73"/>
      <c r="BI73"/>
      <c r="BJ73"/>
      <c r="BK73"/>
      <c r="BL73"/>
    </row>
    <row r="74" spans="2:64" x14ac:dyDescent="0.25">
      <c r="B74" s="7"/>
      <c r="C74" s="7"/>
      <c r="D74" s="7"/>
      <c r="G74" s="481"/>
      <c r="H74" s="482"/>
      <c r="BC74" s="219"/>
      <c r="BD74"/>
      <c r="BE74"/>
      <c r="BF74"/>
      <c r="BG74"/>
      <c r="BH74"/>
      <c r="BI74"/>
      <c r="BJ74"/>
      <c r="BK74"/>
      <c r="BL74"/>
    </row>
    <row r="75" spans="2:64" x14ac:dyDescent="0.25">
      <c r="B75" s="7"/>
      <c r="C75" s="7"/>
      <c r="G75" s="18"/>
      <c r="H75" s="231"/>
      <c r="BC75" s="219"/>
      <c r="BD75"/>
      <c r="BE75"/>
      <c r="BF75"/>
      <c r="BG75"/>
      <c r="BH75"/>
      <c r="BI75"/>
      <c r="BJ75"/>
      <c r="BK75"/>
      <c r="BL75"/>
    </row>
    <row r="76" spans="2:64" x14ac:dyDescent="0.25">
      <c r="B76" s="7"/>
      <c r="C76" s="7"/>
      <c r="G76" s="18"/>
      <c r="H76" s="231"/>
      <c r="BC76" s="219"/>
      <c r="BD76"/>
      <c r="BE76"/>
      <c r="BF76"/>
      <c r="BG76"/>
      <c r="BH76"/>
      <c r="BI76"/>
      <c r="BJ76"/>
      <c r="BK76"/>
      <c r="BL76"/>
    </row>
    <row r="77" spans="2:64" x14ac:dyDescent="0.25">
      <c r="B77" s="7"/>
      <c r="C77" s="7"/>
      <c r="G77" s="18"/>
      <c r="H77" s="231"/>
      <c r="BC77" s="219"/>
      <c r="BD77"/>
      <c r="BE77"/>
      <c r="BF77"/>
      <c r="BG77"/>
      <c r="BH77"/>
      <c r="BI77"/>
      <c r="BJ77"/>
      <c r="BK77"/>
      <c r="BL77"/>
    </row>
    <row r="78" spans="2:64" x14ac:dyDescent="0.25">
      <c r="B78" s="7"/>
      <c r="C78" s="7"/>
      <c r="BC78" s="26"/>
      <c r="BD78"/>
      <c r="BE78"/>
      <c r="BF78"/>
      <c r="BG78"/>
      <c r="BH78"/>
      <c r="BI78"/>
      <c r="BJ78"/>
      <c r="BK78"/>
      <c r="BL78"/>
    </row>
    <row r="79" spans="2:64" x14ac:dyDescent="0.25">
      <c r="B79" s="7"/>
      <c r="C79" s="7"/>
      <c r="BC79" s="6"/>
      <c r="BD79"/>
      <c r="BE79"/>
      <c r="BF79"/>
      <c r="BG79"/>
      <c r="BH79"/>
      <c r="BI79"/>
      <c r="BJ79"/>
      <c r="BK79"/>
      <c r="BL79"/>
    </row>
    <row r="80" spans="2:64" x14ac:dyDescent="0.25">
      <c r="B80" s="7"/>
      <c r="C80" s="7"/>
      <c r="BD80"/>
      <c r="BE80"/>
      <c r="BF80"/>
      <c r="BG80"/>
      <c r="BH80"/>
      <c r="BI80"/>
      <c r="BJ80"/>
      <c r="BK80"/>
      <c r="BL80"/>
    </row>
    <row r="81" spans="2:64" x14ac:dyDescent="0.25">
      <c r="B81" s="7"/>
      <c r="C81" s="7"/>
      <c r="BD81"/>
      <c r="BE81"/>
      <c r="BF81"/>
      <c r="BG81"/>
      <c r="BH81"/>
      <c r="BI81"/>
      <c r="BJ81"/>
      <c r="BK81"/>
      <c r="BL81"/>
    </row>
    <row r="82" spans="2:64" x14ac:dyDescent="0.25">
      <c r="B82" s="7"/>
      <c r="C82" s="7"/>
      <c r="BC82" s="491"/>
      <c r="BD82"/>
      <c r="BE82"/>
      <c r="BF82"/>
      <c r="BG82"/>
      <c r="BH82"/>
      <c r="BI82"/>
      <c r="BJ82"/>
      <c r="BK82"/>
      <c r="BL82"/>
    </row>
    <row r="83" spans="2:64" x14ac:dyDescent="0.25">
      <c r="B83" s="7"/>
      <c r="C83" s="7"/>
      <c r="BD83"/>
      <c r="BE83"/>
      <c r="BF83"/>
      <c r="BG83"/>
      <c r="BH83"/>
      <c r="BI83"/>
      <c r="BJ83"/>
      <c r="BK83"/>
      <c r="BL83"/>
    </row>
    <row r="84" spans="2:64" x14ac:dyDescent="0.25">
      <c r="B84" s="7"/>
      <c r="C84" s="7"/>
      <c r="BC84" s="492"/>
      <c r="BD84"/>
      <c r="BE84"/>
      <c r="BF84"/>
      <c r="BG84"/>
      <c r="BH84"/>
      <c r="BI84"/>
      <c r="BJ84"/>
      <c r="BK84"/>
      <c r="BL84"/>
    </row>
    <row r="85" spans="2:64" x14ac:dyDescent="0.25">
      <c r="B85" s="7"/>
      <c r="C85" s="7"/>
      <c r="BC85" s="486"/>
      <c r="BD85"/>
      <c r="BE85"/>
      <c r="BF85"/>
      <c r="BG85"/>
      <c r="BH85"/>
      <c r="BI85"/>
      <c r="BJ85"/>
      <c r="BK85"/>
      <c r="BL85"/>
    </row>
    <row r="86" spans="2:64" x14ac:dyDescent="0.25">
      <c r="B86" s="7"/>
      <c r="C86" s="7"/>
      <c r="BC86" s="486"/>
    </row>
    <row r="87" spans="2:64" x14ac:dyDescent="0.25">
      <c r="B87" s="7"/>
      <c r="C87" s="7"/>
      <c r="BC87" s="486"/>
    </row>
    <row r="88" spans="2:64" x14ac:dyDescent="0.25">
      <c r="B88" s="7"/>
      <c r="C88" s="7"/>
    </row>
    <row r="89" spans="2:64" x14ac:dyDescent="0.25">
      <c r="B89" s="7"/>
      <c r="C89" s="7"/>
    </row>
  </sheetData>
  <sheetProtection algorithmName="SHA-512" hashValue="DGVDlCYUFBV/ZdPl/A9XvtC2Tvlj8nx/xoXOtqxk96PxJ5q4TWcOeZfJeg6CcT2YaB9+qjalNJql6BcHuW0EfA==" saltValue="HY1Oth1lMtCb2sU6jL7p+g==" spinCount="100000" sheet="1" selectLockedCells="1"/>
  <mergeCells count="108">
    <mergeCell ref="BG36:BH36"/>
    <mergeCell ref="BG24:BH24"/>
    <mergeCell ref="BG25:BH25"/>
    <mergeCell ref="BG27:BH27"/>
    <mergeCell ref="BG28:BH28"/>
    <mergeCell ref="BG29:BH29"/>
    <mergeCell ref="BG31:BH31"/>
    <mergeCell ref="BG32:BH32"/>
    <mergeCell ref="BG33:BH33"/>
    <mergeCell ref="BG19:BH19"/>
    <mergeCell ref="BG20:BH20"/>
    <mergeCell ref="BG21:BH21"/>
    <mergeCell ref="BG23:BH23"/>
    <mergeCell ref="BG14:BI14"/>
    <mergeCell ref="BG15:BH15"/>
    <mergeCell ref="BG16:BH16"/>
    <mergeCell ref="BG17:BH17"/>
    <mergeCell ref="BG35:BH35"/>
    <mergeCell ref="A8:B8"/>
    <mergeCell ref="D19:E19"/>
    <mergeCell ref="D23:E23"/>
    <mergeCell ref="K8:L8"/>
    <mergeCell ref="M8:N8"/>
    <mergeCell ref="P10:Q10"/>
    <mergeCell ref="P8:Q8"/>
    <mergeCell ref="P9:Q9"/>
    <mergeCell ref="BD14:BE14"/>
    <mergeCell ref="C11:F11"/>
    <mergeCell ref="M9:N9"/>
    <mergeCell ref="C8:F8"/>
    <mergeCell ref="M10:N10"/>
    <mergeCell ref="C9:E9"/>
    <mergeCell ref="D14:F14"/>
    <mergeCell ref="B14:C14"/>
    <mergeCell ref="D15:E15"/>
    <mergeCell ref="G12:H13"/>
    <mergeCell ref="BE48:BG48"/>
    <mergeCell ref="BF54:BK54"/>
    <mergeCell ref="BG42:BH42"/>
    <mergeCell ref="BG44:BH44"/>
    <mergeCell ref="BG45:BH45"/>
    <mergeCell ref="BH47:BI47"/>
    <mergeCell ref="BG53:BJ53"/>
    <mergeCell ref="BG37:BH37"/>
    <mergeCell ref="BG38:BH38"/>
    <mergeCell ref="BG39:BH39"/>
    <mergeCell ref="BG40:BH40"/>
    <mergeCell ref="BG41:BH41"/>
    <mergeCell ref="CX11:CY11"/>
    <mergeCell ref="CS12:CY12"/>
    <mergeCell ref="CS13:CX13"/>
    <mergeCell ref="BD8:BE8"/>
    <mergeCell ref="BF8:BI8"/>
    <mergeCell ref="BK8:BL8"/>
    <mergeCell ref="BF9:BH9"/>
    <mergeCell ref="BF10:BL10"/>
    <mergeCell ref="BF11:BI11"/>
    <mergeCell ref="BK11:BL11"/>
    <mergeCell ref="BD9:BE9"/>
    <mergeCell ref="BD10:BE10"/>
    <mergeCell ref="BD11:BE11"/>
    <mergeCell ref="BD12:BE12"/>
    <mergeCell ref="CS9:CY10"/>
    <mergeCell ref="CS2:CX2"/>
    <mergeCell ref="P1:T1"/>
    <mergeCell ref="BG1:BJ1"/>
    <mergeCell ref="BF2:BK2"/>
    <mergeCell ref="BG7:BK7"/>
    <mergeCell ref="P2:T2"/>
    <mergeCell ref="P7:Q7"/>
    <mergeCell ref="C5:H5"/>
    <mergeCell ref="CS5:CX5"/>
    <mergeCell ref="P6:R6"/>
    <mergeCell ref="CS6:CY6"/>
    <mergeCell ref="BF5:BK5"/>
    <mergeCell ref="BF6:BL6"/>
    <mergeCell ref="D1:G1"/>
    <mergeCell ref="M1:O1"/>
    <mergeCell ref="C2:H2"/>
    <mergeCell ref="B3:G3"/>
    <mergeCell ref="C7:D7"/>
    <mergeCell ref="D35:E35"/>
    <mergeCell ref="D36:E36"/>
    <mergeCell ref="D16:E16"/>
    <mergeCell ref="D17:E17"/>
    <mergeCell ref="D20:E20"/>
    <mergeCell ref="D21:E21"/>
    <mergeCell ref="D24:E24"/>
    <mergeCell ref="D25:E25"/>
    <mergeCell ref="D28:E28"/>
    <mergeCell ref="D29:E29"/>
    <mergeCell ref="D32:E32"/>
    <mergeCell ref="D33:E33"/>
    <mergeCell ref="D27:E27"/>
    <mergeCell ref="D31:E31"/>
    <mergeCell ref="I36:I44"/>
    <mergeCell ref="H47:H52"/>
    <mergeCell ref="B53:H53"/>
    <mergeCell ref="B55:B56"/>
    <mergeCell ref="D45:E45"/>
    <mergeCell ref="E47:F47"/>
    <mergeCell ref="D44:E44"/>
    <mergeCell ref="D37:E37"/>
    <mergeCell ref="D38:E38"/>
    <mergeCell ref="D39:E39"/>
    <mergeCell ref="D40:E40"/>
    <mergeCell ref="D41:E41"/>
    <mergeCell ref="D42:E42"/>
  </mergeCells>
  <conditionalFormatting sqref="B13">
    <cfRule type="expression" dxfId="147" priority="6">
      <formula>$B$13="1º Elija la Opción"</formula>
    </cfRule>
  </conditionalFormatting>
  <conditionalFormatting sqref="G12:H13">
    <cfRule type="expression" dxfId="146" priority="1">
      <formula>$G$12&lt;&gt;""</formula>
    </cfRule>
  </conditionalFormatting>
  <conditionalFormatting sqref="BE13">
    <cfRule type="expression" dxfId="145" priority="2">
      <formula>$B$13="1º Elija la Opción"</formula>
    </cfRule>
  </conditionalFormatting>
  <conditionalFormatting sqref="CR12">
    <cfRule type="expression" dxfId="144" priority="5">
      <formula>$C$12=DA17</formula>
    </cfRule>
  </conditionalFormatting>
  <hyperlinks>
    <hyperlink ref="B55:B56" location="FORMULARIO!C88" display="VOLVER AL FORMULARIO " xr:uid="{00000000-0004-0000-0600-000000000000}"/>
  </hyperlinks>
  <printOptions horizontalCentered="1" verticalCentered="1"/>
  <pageMargins left="0" right="0" top="0" bottom="0" header="0" footer="0"/>
  <pageSetup paperSize="9" scale="59" fitToWidth="0" fitToHeight="0" orientation="portrait" r:id="rId1"/>
  <colBreaks count="2" manualBreakCount="2">
    <brk id="9" max="1048575" man="1"/>
    <brk id="63" min="1" max="5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0"/>
  <sheetViews>
    <sheetView workbookViewId="0">
      <selection activeCell="I14" sqref="I14"/>
    </sheetView>
  </sheetViews>
  <sheetFormatPr baseColWidth="10" defaultColWidth="8.6640625" defaultRowHeight="13.2" x14ac:dyDescent="0.25"/>
  <cols>
    <col min="1" max="3" width="12" customWidth="1"/>
    <col min="4" max="4" width="24" customWidth="1"/>
    <col min="5" max="6" width="18" customWidth="1"/>
    <col min="7" max="8" width="16" customWidth="1"/>
    <col min="9" max="9" width="34.44140625" customWidth="1"/>
    <col min="10" max="10" width="40" customWidth="1"/>
  </cols>
  <sheetData>
    <row r="1" spans="1:10" ht="14.4" x14ac:dyDescent="0.25">
      <c r="A1" s="757" t="s">
        <v>293</v>
      </c>
      <c r="B1" s="757" t="s">
        <v>665</v>
      </c>
      <c r="C1" s="757" t="s">
        <v>666</v>
      </c>
      <c r="D1" s="757" t="s">
        <v>667</v>
      </c>
      <c r="E1" s="757" t="s">
        <v>668</v>
      </c>
      <c r="F1" s="757" t="s">
        <v>669</v>
      </c>
      <c r="G1" s="757" t="s">
        <v>670</v>
      </c>
      <c r="H1" s="757" t="s">
        <v>671</v>
      </c>
      <c r="I1" s="757" t="s">
        <v>672</v>
      </c>
      <c r="J1" s="757" t="s">
        <v>673</v>
      </c>
    </row>
    <row r="2" spans="1:10" x14ac:dyDescent="0.25">
      <c r="B2" s="758"/>
      <c r="C2" s="758"/>
      <c r="E2" s="758"/>
      <c r="F2" s="758"/>
      <c r="G2" s="758">
        <v>0.58333333333333304</v>
      </c>
      <c r="H2" s="758">
        <v>0.91666666666666696</v>
      </c>
      <c r="I2" t="str">
        <f>IF(AND(G2&lt;TIME(15,0,0),H2&gt;TIME(21,0,0)),"MANUTENCIÓN COMPLETA",IF(AND(G2&lt;TIME(15,0,0),H2&gt;=TIME(15,0,0),H2&lt;=TIME(21,0,0)),"MEDIA MANUTENCIÓN (ALMUERZO)",IF(AND(G2&gt;=TIME(15,30,0),H2&gt;TIME(21,0,0)),"MEDIA MANUTENCIÓN (CENA)","SIN MANUTENCIÓN")))</f>
        <v>MANUTENCIÓN COMPLETA</v>
      </c>
      <c r="J2" t="str">
        <f>IF(I2="MANUTENCIÓN COMPLETA","Comienza antes de 15:00 y termina después de 21:00 (Art. 9.c)",IF(I2="MEDIA MANUTENCIÓN (ALMUERZO)","Comienza antes de 15:00 y termina entre 15:00 y 21:00 (Art. 9.b)",IF(I2="MEDIA MANUTENCIÓN (CENA)","Comienza a partir de 15:30 y termina después de 21:00 (Art. 9.b)","No obliga a realizar comidas principales fuera (Art. 9.a)")))</f>
        <v>Comienza antes de 15:00 y termina después de 21:00 (Art. 9.c)</v>
      </c>
    </row>
    <row r="3" spans="1:10" x14ac:dyDescent="0.25">
      <c r="B3" s="758"/>
      <c r="C3" s="758"/>
      <c r="E3" s="758"/>
      <c r="F3" s="758"/>
      <c r="G3" s="758"/>
      <c r="H3" s="758"/>
    </row>
    <row r="4" spans="1:10" x14ac:dyDescent="0.25">
      <c r="B4" s="758"/>
      <c r="C4" s="758"/>
      <c r="E4" s="758"/>
      <c r="F4" s="758"/>
      <c r="G4" s="758"/>
      <c r="H4" s="758"/>
    </row>
    <row r="5" spans="1:10" x14ac:dyDescent="0.25">
      <c r="B5" s="758"/>
      <c r="C5" s="758"/>
      <c r="E5" s="758"/>
      <c r="F5" s="758"/>
      <c r="G5" s="758"/>
      <c r="H5" s="758"/>
    </row>
    <row r="6" spans="1:10" x14ac:dyDescent="0.25">
      <c r="B6" s="758"/>
      <c r="C6" s="758"/>
      <c r="D6" s="759" t="s">
        <v>674</v>
      </c>
      <c r="E6" s="758"/>
      <c r="F6" s="758"/>
      <c r="G6" s="758"/>
      <c r="H6" s="758"/>
    </row>
    <row r="7" spans="1:10" x14ac:dyDescent="0.25">
      <c r="B7" s="758"/>
      <c r="C7" s="758"/>
      <c r="D7" s="765"/>
      <c r="E7" s="758"/>
      <c r="F7" s="758"/>
      <c r="G7" s="758"/>
      <c r="H7" s="758"/>
    </row>
    <row r="8" spans="1:10" ht="14.4" x14ac:dyDescent="0.3">
      <c r="B8" s="758"/>
      <c r="C8" s="758"/>
      <c r="D8" t="s">
        <v>675</v>
      </c>
      <c r="E8" s="758"/>
      <c r="F8" s="758"/>
      <c r="G8" s="758"/>
      <c r="H8" s="758"/>
    </row>
    <row r="9" spans="1:10" ht="14.4" x14ac:dyDescent="0.3">
      <c r="B9" s="758"/>
      <c r="C9" s="758"/>
      <c r="D9" t="s">
        <v>676</v>
      </c>
      <c r="E9" s="758"/>
      <c r="F9" s="758"/>
      <c r="G9" s="758"/>
      <c r="H9" s="758"/>
    </row>
    <row r="10" spans="1:10" x14ac:dyDescent="0.25">
      <c r="B10" s="758"/>
      <c r="C10" s="758"/>
      <c r="D10" s="759" t="s">
        <v>677</v>
      </c>
      <c r="E10" s="758"/>
      <c r="F10" s="758"/>
      <c r="G10" s="758"/>
      <c r="H10" s="758"/>
    </row>
    <row r="11" spans="1:10" x14ac:dyDescent="0.25">
      <c r="B11" s="758"/>
      <c r="C11" s="758"/>
      <c r="D11" s="759" t="s">
        <v>678</v>
      </c>
      <c r="E11" s="758"/>
      <c r="F11" s="758"/>
      <c r="G11" s="758"/>
      <c r="H11" s="758"/>
    </row>
    <row r="12" spans="1:10" x14ac:dyDescent="0.25">
      <c r="B12" s="758"/>
      <c r="C12" s="758"/>
      <c r="E12" s="758"/>
      <c r="F12" s="758"/>
      <c r="G12" s="758"/>
      <c r="H12" s="758"/>
    </row>
    <row r="16" spans="1:10" x14ac:dyDescent="0.25">
      <c r="D16" t="s">
        <v>679</v>
      </c>
      <c r="J16" s="759"/>
    </row>
    <row r="17" spans="4:10" x14ac:dyDescent="0.25">
      <c r="D17" t="s">
        <v>680</v>
      </c>
      <c r="J17" s="760"/>
    </row>
    <row r="18" spans="4:10" x14ac:dyDescent="0.25">
      <c r="D18" t="s">
        <v>681</v>
      </c>
    </row>
    <row r="19" spans="4:10" x14ac:dyDescent="0.25">
      <c r="D19" t="s">
        <v>682</v>
      </c>
    </row>
    <row r="20" spans="4:10" x14ac:dyDescent="0.25">
      <c r="D20" t="s">
        <v>683</v>
      </c>
      <c r="J20" s="761"/>
    </row>
    <row r="21" spans="4:10" x14ac:dyDescent="0.25">
      <c r="D21" t="s">
        <v>684</v>
      </c>
    </row>
    <row r="24" spans="4:10" ht="15.6" x14ac:dyDescent="0.25">
      <c r="D24" s="762" t="s">
        <v>685</v>
      </c>
    </row>
    <row r="25" spans="4:10" ht="15.6" x14ac:dyDescent="0.25">
      <c r="D25" s="763" t="s">
        <v>686</v>
      </c>
    </row>
    <row r="26" spans="4:10" ht="15.6" x14ac:dyDescent="0.25">
      <c r="D26" s="763" t="s">
        <v>687</v>
      </c>
    </row>
    <row r="27" spans="4:10" ht="15.6" x14ac:dyDescent="0.25">
      <c r="D27" s="764" t="s">
        <v>688</v>
      </c>
    </row>
    <row r="28" spans="4:10" ht="15.6" x14ac:dyDescent="0.25">
      <c r="D28" s="763" t="s">
        <v>689</v>
      </c>
    </row>
    <row r="29" spans="4:10" ht="15.6" x14ac:dyDescent="0.25">
      <c r="D29" s="764" t="s">
        <v>690</v>
      </c>
    </row>
    <row r="30" spans="4:10" ht="15.6" x14ac:dyDescent="0.25">
      <c r="D30" s="764" t="s">
        <v>691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tabColor rgb="FF7030A0"/>
  </sheetPr>
  <dimension ref="A1:CX161"/>
  <sheetViews>
    <sheetView showGridLines="0" showWhiteSpace="0" topLeftCell="B13" zoomScaleNormal="100" workbookViewId="0">
      <selection activeCell="F74" sqref="F74"/>
    </sheetView>
  </sheetViews>
  <sheetFormatPr baseColWidth="10" defaultColWidth="11.44140625" defaultRowHeight="13.2" x14ac:dyDescent="0.25"/>
  <cols>
    <col min="1" max="1" width="0.6640625" style="7" hidden="1" customWidth="1"/>
    <col min="2" max="2" width="38.6640625" style="7" customWidth="1"/>
    <col min="3" max="3" width="13.33203125" style="7" customWidth="1"/>
    <col min="4" max="4" width="12.44140625" style="7" customWidth="1"/>
    <col min="5" max="5" width="13.109375" style="7" customWidth="1"/>
    <col min="6" max="6" width="16.44140625" style="7" customWidth="1"/>
    <col min="7" max="7" width="16.6640625" style="7" customWidth="1"/>
    <col min="8" max="8" width="23.44140625" style="7" customWidth="1"/>
    <col min="9" max="9" width="15.44140625" style="7" customWidth="1"/>
    <col min="10" max="10" width="7.44140625" style="15" customWidth="1"/>
    <col min="11" max="11" width="14.33203125" style="15" hidden="1" customWidth="1"/>
    <col min="12" max="12" width="14.109375" style="15" hidden="1" customWidth="1"/>
    <col min="13" max="13" width="11.44140625" style="15" hidden="1" customWidth="1"/>
    <col min="14" max="14" width="9.33203125" style="15" hidden="1" customWidth="1"/>
    <col min="15" max="15" width="9.109375" style="15" hidden="1" customWidth="1"/>
    <col min="16" max="16" width="9.44140625" style="15" hidden="1" customWidth="1"/>
    <col min="17" max="17" width="7.33203125" style="15" hidden="1" customWidth="1"/>
    <col min="18" max="18" width="11.33203125" style="15" hidden="1" customWidth="1"/>
    <col min="19" max="19" width="10" style="15" hidden="1" customWidth="1"/>
    <col min="20" max="20" width="9.44140625" style="15" hidden="1" customWidth="1"/>
    <col min="21" max="21" width="9.109375" style="15" hidden="1" customWidth="1"/>
    <col min="22" max="22" width="11.44140625" style="15" hidden="1" customWidth="1"/>
    <col min="23" max="23" width="30.44140625" style="15" hidden="1" customWidth="1"/>
    <col min="24" max="24" width="10.6640625" style="67" hidden="1" customWidth="1"/>
    <col min="25" max="25" width="11.44140625" style="67" hidden="1" customWidth="1"/>
    <col min="26" max="26" width="10.44140625" style="67" hidden="1" customWidth="1"/>
    <col min="27" max="29" width="11.44140625" style="67" hidden="1" customWidth="1"/>
    <col min="30" max="30" width="14" style="67" hidden="1" customWidth="1"/>
    <col min="31" max="53" width="11.44140625" style="15" hidden="1" customWidth="1"/>
    <col min="54" max="56" width="11.44140625" style="15" customWidth="1"/>
    <col min="57" max="94" width="11.44140625" style="7" customWidth="1"/>
    <col min="95" max="95" width="38.6640625" style="15" customWidth="1"/>
    <col min="96" max="96" width="13.33203125" style="15" customWidth="1"/>
    <col min="97" max="97" width="12.44140625" style="15" customWidth="1"/>
    <col min="98" max="98" width="13.109375" style="15" customWidth="1"/>
    <col min="99" max="99" width="16.44140625" style="15" customWidth="1"/>
    <col min="100" max="100" width="16.6640625" style="15" customWidth="1"/>
    <col min="101" max="101" width="23.44140625" style="15" customWidth="1"/>
    <col min="102" max="102" width="15.44140625" style="15" customWidth="1"/>
    <col min="103" max="16384" width="11.44140625" style="7"/>
  </cols>
  <sheetData>
    <row r="1" spans="1:102" x14ac:dyDescent="0.25">
      <c r="C1" s="18" t="str">
        <f>IF(D90&lt;&gt;"","",IF(E91&lt;&gt;D9,"","Nº"))</f>
        <v/>
      </c>
      <c r="D1" s="6" t="str">
        <f>IF(D90&lt;&gt;"","LIQUIDACIÓN NO CUMPLIMENTADA CORRECTAMENTE",IF(E91&lt;&gt;D9,"LIQUIDACIÓN NO CUMPLIMENTADA CORRECTAMENTE",AL5))</f>
        <v>LIQUIDACIÓN NO CUMPLIMENTADA CORRECTAMENTE</v>
      </c>
      <c r="E1" s="6"/>
      <c r="F1" s="6"/>
      <c r="G1" s="6"/>
      <c r="H1" s="82"/>
      <c r="I1"/>
      <c r="J1" s="67"/>
      <c r="K1" s="67" t="s">
        <v>17</v>
      </c>
      <c r="L1" s="67"/>
      <c r="M1" s="1674" t="s">
        <v>310</v>
      </c>
      <c r="N1" s="1674"/>
      <c r="O1" s="1674"/>
      <c r="P1" s="1674" t="s">
        <v>760</v>
      </c>
      <c r="Q1" s="1674"/>
      <c r="R1" s="1674"/>
      <c r="S1" s="1674"/>
      <c r="T1" s="1674"/>
      <c r="U1" s="67"/>
      <c r="V1" s="67"/>
      <c r="W1" s="67"/>
      <c r="CR1" s="18"/>
      <c r="CS1" s="6"/>
      <c r="CT1" s="6"/>
      <c r="CU1" s="6"/>
      <c r="CV1" s="6"/>
      <c r="CW1" s="29"/>
    </row>
    <row r="2" spans="1:102" x14ac:dyDescent="0.25">
      <c r="C2" s="1692" t="str">
        <f>IF(B8=K2,M2,IF(B8=K3,M1,IF(B8=K4,M1,"")))</f>
        <v/>
      </c>
      <c r="D2" s="1692"/>
      <c r="E2" s="1692"/>
      <c r="F2" s="1692"/>
      <c r="G2" s="1692"/>
      <c r="H2" s="1692"/>
      <c r="I2"/>
      <c r="J2" s="67"/>
      <c r="K2" s="67" t="s">
        <v>79</v>
      </c>
      <c r="L2" s="67"/>
      <c r="M2" s="1674" t="s">
        <v>313</v>
      </c>
      <c r="N2" s="1674"/>
      <c r="O2" s="1674"/>
      <c r="P2" s="1674" t="s">
        <v>761</v>
      </c>
      <c r="Q2" s="1674"/>
      <c r="R2" s="1674"/>
      <c r="S2" s="1674"/>
      <c r="T2" s="1674"/>
      <c r="U2" s="67"/>
      <c r="V2" s="67"/>
      <c r="W2" s="67" t="s">
        <v>762</v>
      </c>
      <c r="X2" s="163" t="str">
        <f>IF(D13="","",D13)</f>
        <v/>
      </c>
      <c r="Y2" s="163" t="str">
        <f>IF(F13="","",F13)</f>
        <v/>
      </c>
      <c r="Z2" s="67" t="str">
        <f>TEXT(X2,"dd-mm-aa")&amp;" al  "&amp;TEXT(Y2,"dd-mm-aa")</f>
        <v xml:space="preserve"> al  </v>
      </c>
      <c r="AL2" s="15" t="s">
        <v>763</v>
      </c>
      <c r="CR2" s="1546" t="str">
        <f>IF($B$94&lt;&gt;"","",C2)</f>
        <v/>
      </c>
      <c r="CS2" s="1546"/>
      <c r="CT2" s="1546"/>
      <c r="CU2" s="1546"/>
      <c r="CV2" s="1546"/>
      <c r="CW2" s="1546"/>
    </row>
    <row r="3" spans="1:102" x14ac:dyDescent="0.25">
      <c r="C3" s="1693" t="str">
        <f>IF(B19=K2,P2,IF(B19=K3,P1,IF(B19=K4,P1,"")))</f>
        <v/>
      </c>
      <c r="D3" s="1693"/>
      <c r="E3" s="1693"/>
      <c r="F3" s="1693"/>
      <c r="G3" s="1693"/>
      <c r="H3" s="1693"/>
      <c r="I3"/>
      <c r="J3" s="67"/>
      <c r="K3" s="67" t="s">
        <v>75</v>
      </c>
      <c r="L3" s="67"/>
      <c r="M3" s="67"/>
      <c r="N3" s="67"/>
      <c r="O3" s="67"/>
      <c r="P3" s="67"/>
      <c r="Q3" s="67"/>
      <c r="R3" s="67"/>
      <c r="S3" s="67"/>
      <c r="T3" s="67"/>
      <c r="U3" s="67"/>
      <c r="V3" s="67"/>
      <c r="W3" s="67" t="s">
        <v>764</v>
      </c>
      <c r="X3" s="1674" t="str">
        <f>W4&amp; " "&amp;TEXT(Y6,"dd-mm-aa")&amp;" al  "&amp;TEXT(Z6,"dd-mm-aa")&amp;"   -T. Extranjero  del   "&amp;TEXT(X26,"dd-mm-aa")&amp;" al "&amp;TEXT(Y26,"dd-mm-aa") &amp;" "&amp;W26 &amp;"    del   "&amp;TEXT(X46,"dd-mm-aa")&amp;" al "&amp;TEXT(Y46,"dd-mm-aa") &amp;" "&amp;W46 &amp;"    del   "&amp;TEXT(X66,"dd-mm-aa")&amp;" al "&amp;TEXT(Y66,"dd-mm-aa") &amp;" "&amp;W66</f>
        <v xml:space="preserve">T. Nacional: del  al     -T. Extranjero  del    al      del    al      del    al  </v>
      </c>
      <c r="Y3" s="1674"/>
      <c r="Z3" s="1674"/>
      <c r="AA3" s="1674"/>
      <c r="AB3" s="1674"/>
      <c r="AC3" s="1674"/>
      <c r="AD3" s="1674"/>
      <c r="AE3" s="1674"/>
      <c r="AF3" s="1674"/>
      <c r="AG3" s="1674"/>
      <c r="AH3" s="1674"/>
      <c r="AI3" s="1674"/>
      <c r="AJ3" s="1674"/>
      <c r="AK3" s="1674"/>
      <c r="AL3" s="15">
        <f>H9</f>
        <v>0</v>
      </c>
      <c r="CR3" s="1538"/>
      <c r="CS3" s="1538"/>
      <c r="CT3" s="1538"/>
      <c r="CU3" s="1538"/>
      <c r="CV3" s="1538"/>
      <c r="CW3" s="1538"/>
    </row>
    <row r="4" spans="1:102" x14ac:dyDescent="0.25">
      <c r="C4" s="1538" t="str">
        <f>IF(D90&lt;&gt;"","",IF(E91&lt;&gt;D9,"","Esta Liquidación deberá justificar TODOS los gastos relacionados con el viaje y adjuntar la Comisión de Servicio Original."))</f>
        <v/>
      </c>
      <c r="D4" s="1538"/>
      <c r="E4" s="1538"/>
      <c r="F4" s="1538"/>
      <c r="G4" s="1538"/>
      <c r="H4" s="1538"/>
      <c r="I4" s="1538"/>
      <c r="J4" s="67"/>
      <c r="K4" s="67" t="s">
        <v>76</v>
      </c>
      <c r="L4" s="67"/>
      <c r="M4" s="1281" t="s">
        <v>282</v>
      </c>
      <c r="N4" s="1281"/>
      <c r="O4" s="1281"/>
      <c r="P4" s="1281" t="s">
        <v>279</v>
      </c>
      <c r="Q4" s="1281"/>
      <c r="R4" s="1281"/>
      <c r="S4" s="152" t="s">
        <v>534</v>
      </c>
      <c r="T4" s="67"/>
      <c r="U4" s="67"/>
      <c r="V4" s="67"/>
      <c r="W4" s="67" t="s">
        <v>765</v>
      </c>
      <c r="AL4" s="15" t="str">
        <f>IF(C15&lt;&gt;"",C15,IF(C30&lt;&gt;"",C30,IF(C41&lt;&gt;"",C41,IF(C52&lt;&gt;"",C52,""))))</f>
        <v/>
      </c>
      <c r="CR4" s="1538" t="str">
        <f>IF($B$94&lt;&gt;"","",C4)</f>
        <v/>
      </c>
      <c r="CS4" s="1538"/>
      <c r="CT4" s="1538"/>
      <c r="CU4" s="1538"/>
      <c r="CV4" s="1538"/>
      <c r="CW4" s="1538"/>
      <c r="CX4" s="1538"/>
    </row>
    <row r="5" spans="1:102" ht="13.8" x14ac:dyDescent="0.25">
      <c r="C5" s="150"/>
      <c r="D5" s="150"/>
      <c r="E5" s="150"/>
      <c r="F5" s="150"/>
      <c r="G5" s="150"/>
      <c r="H5" s="1695"/>
      <c r="I5" s="1695"/>
      <c r="J5" s="67"/>
      <c r="K5" s="339">
        <v>0</v>
      </c>
      <c r="L5" s="67"/>
      <c r="M5" s="1281" t="s">
        <v>302</v>
      </c>
      <c r="N5" s="1281"/>
      <c r="O5" s="153">
        <v>37.4</v>
      </c>
      <c r="P5" s="1281" t="s">
        <v>766</v>
      </c>
      <c r="Q5" s="1281"/>
      <c r="R5" s="153">
        <v>40.82</v>
      </c>
      <c r="S5" s="153">
        <v>41.78</v>
      </c>
      <c r="T5" s="67"/>
      <c r="U5" s="67"/>
      <c r="V5" s="67"/>
      <c r="W5" s="67"/>
      <c r="Y5" s="152" t="s">
        <v>767</v>
      </c>
      <c r="Z5" s="152" t="s">
        <v>768</v>
      </c>
      <c r="AL5" s="15" t="str">
        <f>AL4&amp;AL3</f>
        <v>0</v>
      </c>
      <c r="AQ5" s="1589" t="s">
        <v>769</v>
      </c>
      <c r="AR5" s="1589"/>
      <c r="AS5" s="1589"/>
      <c r="AT5" s="1589"/>
      <c r="AU5" s="1589"/>
      <c r="AV5" s="1589"/>
      <c r="AW5" s="1589"/>
      <c r="AX5" s="1589"/>
      <c r="CR5" s="150"/>
      <c r="CS5" s="150"/>
      <c r="CT5" s="150"/>
      <c r="CU5" s="150"/>
      <c r="CV5" s="150"/>
      <c r="CW5" s="1649"/>
      <c r="CX5" s="1650"/>
    </row>
    <row r="6" spans="1:102" x14ac:dyDescent="0.25">
      <c r="C6" s="1538" t="str">
        <f>IF(D90&lt;&gt;"","Para cumplimentar correctamente la liquidación, antes de imprimir atienda ","")</f>
        <v xml:space="preserve">Para cumplimentar correctamente la liquidación, antes de imprimir atienda </v>
      </c>
      <c r="D6" s="1538"/>
      <c r="E6" s="1538"/>
      <c r="F6" s="1538"/>
      <c r="G6" s="1538"/>
      <c r="H6" s="1538"/>
      <c r="I6" s="1538"/>
      <c r="J6" s="67"/>
      <c r="K6" s="1281" t="s">
        <v>770</v>
      </c>
      <c r="L6" s="1281"/>
      <c r="M6" s="1281" t="s">
        <v>301</v>
      </c>
      <c r="N6" s="1281"/>
      <c r="O6" s="153">
        <v>18.7</v>
      </c>
      <c r="P6" s="1281" t="s">
        <v>303</v>
      </c>
      <c r="Q6" s="1281"/>
      <c r="R6" s="153">
        <v>26.67</v>
      </c>
      <c r="S6" s="153">
        <v>26.67</v>
      </c>
      <c r="T6" s="67"/>
      <c r="U6" s="67"/>
      <c r="V6" s="67"/>
      <c r="W6" s="67" t="s">
        <v>771</v>
      </c>
      <c r="X6" s="158">
        <f>SUM(G20:G22)</f>
        <v>0</v>
      </c>
      <c r="Y6" s="176" t="str">
        <f>IF(C15="","",C15)</f>
        <v/>
      </c>
      <c r="Z6" s="176" t="str">
        <f>IF(C17="","",C17)</f>
        <v/>
      </c>
      <c r="AB6" s="185" t="s">
        <v>772</v>
      </c>
      <c r="AC6" s="185" t="s">
        <v>773</v>
      </c>
      <c r="AD6" s="67" t="s">
        <v>451</v>
      </c>
      <c r="AE6" s="67"/>
      <c r="AG6" s="196" t="s">
        <v>774</v>
      </c>
      <c r="AQ6" s="1751" t="s">
        <v>775</v>
      </c>
      <c r="AR6" s="1751"/>
      <c r="AS6" s="1751"/>
      <c r="AT6" s="254"/>
      <c r="AU6" s="262" t="s">
        <v>776</v>
      </c>
      <c r="AV6" s="263"/>
      <c r="AW6" s="98"/>
      <c r="AX6" s="264"/>
      <c r="CR6" s="1538" t="str">
        <f>IF($B$94&lt;&gt;"","LIQUIDACIÓN NO VÁLIDA PARA SU PRESENTACIÓN, FALTA CUMPLIMENTAR ALGUNOS DATOS.","")</f>
        <v>LIQUIDACIÓN NO VÁLIDA PARA SU PRESENTACIÓN, FALTA CUMPLIMENTAR ALGUNOS DATOS.</v>
      </c>
      <c r="CS6" s="1538"/>
      <c r="CT6" s="1538"/>
      <c r="CU6" s="1538"/>
      <c r="CV6" s="1538"/>
      <c r="CW6" s="1538"/>
      <c r="CX6" s="1538"/>
    </row>
    <row r="7" spans="1:102" x14ac:dyDescent="0.25">
      <c r="B7" s="22" t="s">
        <v>777</v>
      </c>
      <c r="C7" s="1538" t="str">
        <f>IF(D90&lt;&gt;"","a los mensajes que van apareciendo y siga las instrucciones. ","")</f>
        <v xml:space="preserve">a los mensajes que van apareciendo y siga las instrucciones. </v>
      </c>
      <c r="D7" s="1538"/>
      <c r="E7" s="1538"/>
      <c r="F7" s="1538"/>
      <c r="G7" s="1538"/>
      <c r="H7" s="1538"/>
      <c r="I7" s="1538"/>
      <c r="J7" s="67"/>
      <c r="K7" s="152" t="s">
        <v>778</v>
      </c>
      <c r="L7" s="67" t="s">
        <v>779</v>
      </c>
      <c r="M7" s="1281" t="s">
        <v>514</v>
      </c>
      <c r="N7" s="1281"/>
      <c r="O7" s="153">
        <v>65.97</v>
      </c>
      <c r="P7" s="1281" t="s">
        <v>301</v>
      </c>
      <c r="Q7" s="1281"/>
      <c r="R7" s="153">
        <v>20.41</v>
      </c>
      <c r="S7" s="153">
        <v>20.89</v>
      </c>
      <c r="T7" s="67"/>
      <c r="U7" s="67"/>
      <c r="V7" s="67" t="s">
        <v>611</v>
      </c>
      <c r="W7" s="165" t="str">
        <f t="shared" ref="W7:Y9" si="0">B20</f>
        <v>Alojamiento (según decreto)</v>
      </c>
      <c r="X7" s="183">
        <f t="shared" si="0"/>
        <v>0</v>
      </c>
      <c r="Y7" s="165" t="str">
        <f t="shared" si="0"/>
        <v>noche</v>
      </c>
      <c r="Z7" s="165" t="s">
        <v>780</v>
      </c>
      <c r="AA7" s="164" t="str">
        <f t="shared" ref="AA7:AC9" si="1">E20</f>
        <v/>
      </c>
      <c r="AB7" s="184" t="str">
        <f t="shared" si="1"/>
        <v>€/noche</v>
      </c>
      <c r="AC7" s="184" t="str">
        <f t="shared" si="1"/>
        <v/>
      </c>
      <c r="AD7" s="173" t="str">
        <f>IF(AC7&lt;&gt;0, X7 &amp;" " &amp; Y7 &amp;" " &amp; Z7 &amp; " "&amp; AA7  &amp; " "&amp; $AB$6  &amp; " "&amp; AC7&amp;AC6,"")</f>
        <v>0 noche a  €/N €;</v>
      </c>
      <c r="AE7" s="173"/>
      <c r="AF7" s="67"/>
      <c r="AG7" s="196" t="s">
        <v>781</v>
      </c>
      <c r="AH7" s="239" t="s">
        <v>772</v>
      </c>
      <c r="AI7" s="1615" t="s">
        <v>782</v>
      </c>
      <c r="AJ7" s="1615"/>
      <c r="AK7" s="197" t="s">
        <v>783</v>
      </c>
      <c r="AL7" s="197" t="s">
        <v>783</v>
      </c>
      <c r="AM7" s="197" t="s">
        <v>784</v>
      </c>
      <c r="AN7" s="243">
        <v>0.21</v>
      </c>
      <c r="AO7" s="197" t="s">
        <v>785</v>
      </c>
      <c r="AQ7" s="321" t="str">
        <f>AD6&amp;" "&amp;AD7</f>
        <v>ESPAÑA 0 noche a  €/N €;</v>
      </c>
      <c r="AR7" s="252"/>
      <c r="AS7" s="252"/>
      <c r="AT7" s="256"/>
      <c r="AU7" s="255"/>
      <c r="AV7" s="252"/>
      <c r="AX7" s="265"/>
      <c r="CQ7" s="22" t="str">
        <f t="shared" ref="CQ7:CQ15" si="2">IF($B$94&lt;&gt;"","",B7)</f>
        <v/>
      </c>
      <c r="CR7" s="1538"/>
      <c r="CS7" s="1538"/>
      <c r="CT7" s="1538"/>
      <c r="CU7" s="1538"/>
      <c r="CV7" s="1538"/>
      <c r="CW7" s="1538"/>
      <c r="CX7" s="1538"/>
    </row>
    <row r="8" spans="1:102" ht="13.8" x14ac:dyDescent="0.25">
      <c r="B8" s="118" t="s">
        <v>17</v>
      </c>
      <c r="C8" s="1538" t="str">
        <f>IF(B8=K1,K15,IF(D9="","ESCRIBA SU NOMBRE Y APELLIDOS",IF(H9="","FALTA INDICAR EL D.N.I.",IF(C10="","FALTA CUMPLIMENTAR LA VINCULACIÓN CON EL PROYECTO",IF(G10="","FALTA INDICAR CUERPO O ESCALA",IF(C11="","FALTA CUMPLIMENTAR EL MOTIVO DEL VIAJE",IF(C12="","FALTA CUMPLIMENTAR EL ITINERARIO",IF(H12="","FALTA CUMPLIMENTAR EL LUGAR DE DESTINO",IF(D13="","FALTA INDICAR LA FECHA DE INICIO DE LA ACTIVIDAD",IF(F13="","FALTA INDICAR LA FECHA DE FIN DE LA ACTIVIDAD",IF(OR(B15="Falta indicar la hora",B17="Falta indicar la hora"),"FALTA INDICAR LA HORA",IF(AND(L18&lt;&gt;0,C15=""),"FALTA INDICAR LA FECHA DESDE",IF(AND(L18&lt;&gt;0,C17=""),"FALTA INDICAR LA FECHA DESDE",IF(OR(H21="Falta indicar las noches",H22="Falta indicar las noches"),"FALTA INDICAR LAS NOCHES",IF(H25="Falta indicar los días","FALTA INDICAR LOS DÍAS",IF(AND(Z25&gt;0,C30=""),"FALTA INDICAR LA FECHA DESDE",IF(AND(Z25&gt;0,C32=""),"FALTA INDICAR LA FECHA DESDE",IF(OR(F30="Falta indicar la hora",F32="Falta indicar la hora"),"FALTA INDICAR LA HORA",IF(OR(H35="Falta indicar las noches",H36="Falta indicar las noches"),"FALTA INDICAR LAS NOCHES",IF(H39="Falta indicar los días","FALTA INDICAR LOS DÍAS",IF(AND(C41="",Z46&gt;0),"FALTA INDICAR LA FECHA DESDE",IF(AND(Z46&gt;0,C43=""),"FALTA INDICAR LA FECHA DESDE",IF(OR(F41="Falta indicar la hora",F43="Falta indicar la hora"),"FALTA INDICAR LA HORA",IF(OR(H46="Falta indicar las noches",H47="Falta indicar las noches"),"FALTA INDICAR LAS NOCHES",IF(H50="Falta indicar los días","FALTA INDICAR LOS DÍAS",IF(AND(Z66&gt;0,C52=""),"FALTA INDICAR LA FECHA DESDE",IF(AND(C54="",Z66&gt;0),"FALTA INDICAR LA FECHA DESDE",IF(OR(F52="Falta indicar la hora",F54="Falta indicar la hora"),"FALTA INDICAR LA HORA",IF(OR(H57="Falta indicar las noches",H58="Falta indicar las noches"),"FALTA INDICAR LAS NOCHES",IF(H61="Falta indicar los días","FALTA INDICAR LOS DÍAS",IF(D72="LIQUIDACIÓN NO VÁLIDA, INDIQUE LA MATRICULA","INDIQUE LA MATRÍCULA",IF(C72="ELIJA LA OPCIÓN DEL TRANSPORTE","FALTA INDICAR EL MEDIO DE TRANSPORTE",IF(D73="","FALTA INDICAR LA FECHA DE INICIO DE LA ACTIVIDAD",IF(F73="","FALTA INDICAR LA FECHA DE FIN DE LA ACTIVIDAD","LIQUIDACIÓN DE DIETAS Y GASTOS DE LOCOMOCIÓN"))))))))))))))))))))))))))))))))))</f>
        <v>ANTES DE COMENZAR DEBE ELEGIR UNA OPCIÓN, MINISTERIO O JUNTA</v>
      </c>
      <c r="D8" s="1538"/>
      <c r="E8" s="1538"/>
      <c r="F8" s="1538"/>
      <c r="G8" s="1538"/>
      <c r="H8" s="1538"/>
      <c r="I8" s="1538"/>
      <c r="J8" s="67"/>
      <c r="K8" s="154">
        <v>36526</v>
      </c>
      <c r="L8" s="155">
        <v>4.1666666666666664E-2</v>
      </c>
      <c r="M8" s="1281" t="s">
        <v>786</v>
      </c>
      <c r="N8" s="1281"/>
      <c r="O8" s="67"/>
      <c r="P8" s="1281" t="s">
        <v>514</v>
      </c>
      <c r="Q8" s="1281"/>
      <c r="R8" s="153">
        <v>64.27</v>
      </c>
      <c r="S8" s="153">
        <v>96.41</v>
      </c>
      <c r="T8" s="67"/>
      <c r="U8" s="67"/>
      <c r="V8" s="182" t="e">
        <f>X8*AA7</f>
        <v>#VALUE!</v>
      </c>
      <c r="W8" s="165" t="str">
        <f t="shared" si="0"/>
        <v>Alojamiento (según factura)</v>
      </c>
      <c r="X8" s="183">
        <f t="shared" si="0"/>
        <v>0</v>
      </c>
      <c r="Y8" s="165" t="str">
        <f t="shared" si="0"/>
        <v>noche</v>
      </c>
      <c r="Z8" s="165" t="s">
        <v>780</v>
      </c>
      <c r="AA8" s="164">
        <f t="shared" si="1"/>
        <v>0</v>
      </c>
      <c r="AB8" s="184" t="str">
        <f t="shared" si="1"/>
        <v>€/noche</v>
      </c>
      <c r="AC8" s="184">
        <f t="shared" si="1"/>
        <v>0</v>
      </c>
      <c r="AD8" s="173" t="str">
        <f>IF(AC8&lt;&gt;0, X8 &amp;" " &amp; Y8 &amp;" " &amp; Z8 &amp; " "&amp;AH8  &amp; " "&amp; $AB$6  &amp; " "&amp; AG8&amp;AC6,"")</f>
        <v/>
      </c>
      <c r="AE8" s="173"/>
      <c r="AF8" s="67"/>
      <c r="AG8" s="240" t="e">
        <f>IF(AC8&gt;V8,V8,AC8)</f>
        <v>#VALUE!</v>
      </c>
      <c r="AH8" s="242" t="e">
        <f>IF(AG8=0,"",AG8/X8)</f>
        <v>#VALUE!</v>
      </c>
      <c r="AI8" s="196" t="s">
        <v>787</v>
      </c>
      <c r="AJ8" s="196" t="s">
        <v>772</v>
      </c>
      <c r="AK8" s="244">
        <v>0.1</v>
      </c>
      <c r="AL8" s="245">
        <v>0.1</v>
      </c>
      <c r="AM8" s="167"/>
      <c r="AN8" s="167"/>
      <c r="AO8" s="167"/>
      <c r="AQ8" s="257" t="str">
        <f>AD28</f>
        <v xml:space="preserve">  0 noche a €/N €;</v>
      </c>
      <c r="AR8" s="253"/>
      <c r="AS8" s="252"/>
      <c r="AT8" s="256"/>
      <c r="AU8" s="257" t="s">
        <v>788</v>
      </c>
      <c r="AV8" s="320"/>
      <c r="AX8" s="265"/>
      <c r="CQ8" s="30" t="str">
        <f t="shared" si="2"/>
        <v/>
      </c>
      <c r="CR8" s="1538" t="str">
        <f>IF(OR(B82&lt;&gt;"",D90&lt;&gt;"",E91&lt;&gt;D9),"",C8)</f>
        <v/>
      </c>
      <c r="CS8" s="1538"/>
      <c r="CT8" s="1538"/>
      <c r="CU8" s="1538"/>
      <c r="CV8" s="1538"/>
      <c r="CW8" s="1538"/>
      <c r="CX8" s="1538"/>
    </row>
    <row r="9" spans="1:102" ht="13.8" x14ac:dyDescent="0.25">
      <c r="B9" s="1648" t="str">
        <f>IF(B8=K1,K11,"Nombre y Apellidos del titular de la liquidación:")</f>
        <v>1º Elija la Opción</v>
      </c>
      <c r="C9" s="1648"/>
      <c r="D9" s="1702"/>
      <c r="E9" s="1703"/>
      <c r="F9" s="1703"/>
      <c r="G9" s="30" t="s">
        <v>789</v>
      </c>
      <c r="H9" s="65"/>
      <c r="I9"/>
      <c r="J9" s="67"/>
      <c r="K9" s="154">
        <v>73050</v>
      </c>
      <c r="L9" s="155">
        <v>1.0409722222222222</v>
      </c>
      <c r="M9" s="156">
        <v>0.58333333333333337</v>
      </c>
      <c r="N9" s="156">
        <v>0.20833333333333334</v>
      </c>
      <c r="O9" s="67"/>
      <c r="P9" s="152" t="s">
        <v>786</v>
      </c>
      <c r="Q9" s="67" t="s">
        <v>790</v>
      </c>
      <c r="R9" s="67" t="s">
        <v>791</v>
      </c>
      <c r="S9" s="153">
        <v>20.89</v>
      </c>
      <c r="T9" s="67"/>
      <c r="U9" s="67"/>
      <c r="V9" s="182" t="e">
        <f>X9*AA7</f>
        <v>#VALUE!</v>
      </c>
      <c r="W9" s="165" t="str">
        <f t="shared" si="0"/>
        <v>Alojamiento Pagos a Terceros</v>
      </c>
      <c r="X9" s="183">
        <f t="shared" si="0"/>
        <v>0</v>
      </c>
      <c r="Y9" s="165" t="str">
        <f t="shared" si="0"/>
        <v>noche</v>
      </c>
      <c r="Z9" s="165" t="s">
        <v>780</v>
      </c>
      <c r="AA9" s="164">
        <f t="shared" si="1"/>
        <v>0</v>
      </c>
      <c r="AB9" s="184" t="str">
        <f t="shared" si="1"/>
        <v>€/noche</v>
      </c>
      <c r="AC9" s="184">
        <f t="shared" si="1"/>
        <v>0</v>
      </c>
      <c r="AD9" s="173" t="str">
        <f>IF(AC9&lt;&gt;0,W9 &amp; " " &amp; X9 &amp;" " &amp; Y9 &amp;" " &amp; Z9 &amp; " "&amp; AA9  &amp; " "&amp; AB6 &amp; " "&amp; AC9&amp;AC6,"")</f>
        <v/>
      </c>
      <c r="AE9" s="173"/>
      <c r="AF9" s="67"/>
      <c r="AG9" s="240" t="e">
        <f>IF(AC9&gt;V9,V9,AC9)</f>
        <v>#VALUE!</v>
      </c>
      <c r="AH9" s="242" t="e">
        <f>IF(AG9=0,"",AG9/X9)</f>
        <v>#VALUE!</v>
      </c>
      <c r="AI9" s="246" t="e">
        <f>AM9*AK8*AN7+AM9</f>
        <v>#VALUE!</v>
      </c>
      <c r="AJ9" s="246" t="e">
        <f>IF(AI9=0,"",AI9/X8)</f>
        <v>#VALUE!</v>
      </c>
      <c r="AK9" s="196"/>
      <c r="AL9" s="167"/>
      <c r="AM9" s="166" t="e">
        <f>AO9/(1+AL8)</f>
        <v>#VALUE!</v>
      </c>
      <c r="AN9" s="167"/>
      <c r="AO9" s="166" t="e">
        <f>AG8</f>
        <v>#VALUE!</v>
      </c>
      <c r="AQ9" s="257" t="str">
        <f>AD48</f>
        <v xml:space="preserve">  0 noche a €/N €;</v>
      </c>
      <c r="AR9" s="253"/>
      <c r="AS9" s="252"/>
      <c r="AT9" s="256"/>
      <c r="AU9" s="257" t="s">
        <v>451</v>
      </c>
      <c r="AV9" s="253" t="str">
        <f>IF(X6&gt;0,AD6&amp;"  "&amp;AD8,"")</f>
        <v/>
      </c>
      <c r="AX9" s="265"/>
      <c r="CQ9" s="1648" t="str">
        <f t="shared" si="2"/>
        <v/>
      </c>
      <c r="CR9" s="1648"/>
      <c r="CS9" s="1651" t="str">
        <f>IF($B$94&lt;&gt;"","",D9)</f>
        <v/>
      </c>
      <c r="CT9" s="1651"/>
      <c r="CU9" s="1651"/>
      <c r="CV9" s="30"/>
      <c r="CW9" s="205" t="str">
        <f>IF($B$94&lt;&gt;"","",H9)</f>
        <v/>
      </c>
    </row>
    <row r="10" spans="1:102" ht="13.8" x14ac:dyDescent="0.25">
      <c r="B10" s="25" t="s">
        <v>792</v>
      </c>
      <c r="C10" s="1683"/>
      <c r="D10" s="1683"/>
      <c r="E10" s="1683"/>
      <c r="F10" s="29" t="s">
        <v>793</v>
      </c>
      <c r="G10" s="1683"/>
      <c r="H10" s="1683"/>
      <c r="I10"/>
      <c r="J10" s="67"/>
      <c r="K10" s="67"/>
      <c r="L10" s="67"/>
      <c r="M10" s="156">
        <v>0.66666666666666663</v>
      </c>
      <c r="N10" s="152" t="s">
        <v>794</v>
      </c>
      <c r="O10" s="67"/>
      <c r="P10" s="156">
        <v>0.58333333333333337</v>
      </c>
      <c r="Q10" s="67" t="s">
        <v>795</v>
      </c>
      <c r="R10" s="67"/>
      <c r="S10" s="153">
        <v>26.67</v>
      </c>
      <c r="T10" s="67"/>
      <c r="U10" s="67"/>
      <c r="V10" s="67"/>
      <c r="W10" s="1674" t="str">
        <f>IF(AC7&lt;&gt;0,W7 &amp; " " &amp; X7 &amp;" " &amp; Y7 &amp;" " &amp; Z7 &amp; " "&amp; AA7  &amp; " "&amp; AB7  &amp; " "&amp; AC7,"")</f>
        <v xml:space="preserve">Alojamiento (según decreto) 0 noche a  €/noche </v>
      </c>
      <c r="X10" s="1674"/>
      <c r="Y10" s="1674"/>
      <c r="Z10" s="1674"/>
      <c r="AA10" s="1674"/>
      <c r="AB10" s="1674"/>
      <c r="AC10" s="1674"/>
      <c r="AD10" s="185" t="str">
        <f>IF(X6&gt;0,AD6&amp;" "&amp;AD7&amp;" "&amp;AD8,"")</f>
        <v/>
      </c>
      <c r="AE10" s="67"/>
      <c r="AF10" s="67"/>
      <c r="AG10" s="239"/>
      <c r="AH10" s="239"/>
      <c r="AI10" s="246" t="e">
        <f>AM10*AK8*AN7+AM10</f>
        <v>#VALUE!</v>
      </c>
      <c r="AJ10" s="247" t="e">
        <f>IF(AI10=0,"",AI10/X9)</f>
        <v>#VALUE!</v>
      </c>
      <c r="AK10" s="196"/>
      <c r="AL10" s="167"/>
      <c r="AM10" s="166" t="e">
        <f>AO10/(1+AL8)</f>
        <v>#VALUE!</v>
      </c>
      <c r="AN10" s="167"/>
      <c r="AO10" s="166" t="e">
        <f>AG9</f>
        <v>#VALUE!</v>
      </c>
      <c r="AQ10" s="257" t="str">
        <f>AD68</f>
        <v xml:space="preserve"> 0 noche a  €/N €;</v>
      </c>
      <c r="AR10" s="253"/>
      <c r="AS10" s="252"/>
      <c r="AT10" s="256"/>
      <c r="AU10" s="257" t="str">
        <f>W26</f>
        <v/>
      </c>
      <c r="AV10" s="253" t="str">
        <f>AD29</f>
        <v/>
      </c>
      <c r="AX10" s="265"/>
      <c r="CQ10" s="25" t="str">
        <f t="shared" si="2"/>
        <v/>
      </c>
      <c r="CR10" s="1653" t="str">
        <f>IF($B$94&lt;&gt;"","",C10)</f>
        <v/>
      </c>
      <c r="CS10" s="1653"/>
      <c r="CT10" s="1653"/>
      <c r="CU10" s="29" t="str">
        <f>IF($B$94&lt;&gt;"","",F10)</f>
        <v/>
      </c>
      <c r="CV10" s="1653" t="str">
        <f>IF($B$94&lt;&gt;"","",G10)</f>
        <v/>
      </c>
      <c r="CW10" s="1653"/>
    </row>
    <row r="11" spans="1:102" ht="13.8" x14ac:dyDescent="0.25">
      <c r="B11" s="25" t="s">
        <v>796</v>
      </c>
      <c r="C11" s="1711"/>
      <c r="D11" s="1711"/>
      <c r="E11" s="1711"/>
      <c r="F11" s="1711"/>
      <c r="G11" s="1711"/>
      <c r="H11" s="1711"/>
      <c r="I11"/>
      <c r="J11" s="67"/>
      <c r="K11" s="67" t="s">
        <v>797</v>
      </c>
      <c r="L11" s="67"/>
      <c r="M11" s="156">
        <v>0.91666666666666663</v>
      </c>
      <c r="N11" s="156">
        <f>D17-D15</f>
        <v>0</v>
      </c>
      <c r="O11" s="67"/>
      <c r="P11" s="156">
        <v>0.625</v>
      </c>
      <c r="Q11" s="67"/>
      <c r="R11" s="67"/>
      <c r="S11" s="67"/>
      <c r="T11" s="67"/>
      <c r="U11" s="67"/>
      <c r="V11" s="67"/>
      <c r="W11" s="1674" t="str">
        <f>IF(AC8&lt;&gt;0,W8 &amp; " " &amp; X8 &amp;" " &amp; Y8 &amp;" " &amp; Z8 &amp; " "&amp; AA8  &amp; " "&amp; AB8  &amp; " "&amp; AC8,"")</f>
        <v/>
      </c>
      <c r="X11" s="1674"/>
      <c r="Y11" s="1674"/>
      <c r="Z11" s="1674"/>
      <c r="AA11" s="1674"/>
      <c r="AB11" s="1674"/>
      <c r="AC11" s="1674"/>
      <c r="AE11" s="67"/>
      <c r="AF11" s="67"/>
      <c r="AG11" s="239"/>
      <c r="AH11" s="239"/>
      <c r="AI11" s="247" t="e">
        <f>IF(AH8="","",IF(AC8&lt;&gt;0,X8&amp;""&amp;Y8&amp;" "&amp;Z8&amp;" "&amp;AJ9&amp;AB6&amp;" "&amp;AI9&amp;AC6,""))</f>
        <v>#VALUE!</v>
      </c>
      <c r="AJ11" s="196"/>
      <c r="AK11" s="196"/>
      <c r="AL11" s="167"/>
      <c r="AM11" s="167"/>
      <c r="AN11" s="167"/>
      <c r="AO11" s="167"/>
      <c r="AQ11" s="257"/>
      <c r="AR11" s="253"/>
      <c r="AS11" s="253"/>
      <c r="AT11" s="256"/>
      <c r="AU11" s="257" t="str">
        <f>W46</f>
        <v/>
      </c>
      <c r="AV11" s="253" t="str">
        <f>AD49</f>
        <v/>
      </c>
      <c r="AX11" s="265"/>
      <c r="CQ11" s="25" t="str">
        <f t="shared" si="2"/>
        <v/>
      </c>
      <c r="CR11" s="1654" t="str">
        <f>IF($B$94&lt;&gt;"","",C11)</f>
        <v/>
      </c>
      <c r="CS11" s="1654"/>
      <c r="CT11" s="1654"/>
      <c r="CU11" s="1654"/>
      <c r="CV11" s="1654"/>
      <c r="CW11" s="1654"/>
    </row>
    <row r="12" spans="1:102" ht="13.8" x14ac:dyDescent="0.25">
      <c r="B12" s="25" t="s">
        <v>798</v>
      </c>
      <c r="C12" s="1712"/>
      <c r="D12" s="1712"/>
      <c r="E12" s="1712"/>
      <c r="F12" s="1712"/>
      <c r="G12" s="6" t="s">
        <v>799</v>
      </c>
      <c r="H12" s="343"/>
      <c r="I12"/>
      <c r="J12" s="67"/>
      <c r="K12" s="67"/>
      <c r="L12" s="67"/>
      <c r="M12" s="67"/>
      <c r="N12" s="67"/>
      <c r="O12" s="67"/>
      <c r="P12" s="156">
        <v>0.91666666666666663</v>
      </c>
      <c r="Q12" s="67"/>
      <c r="R12" s="67"/>
      <c r="S12" s="67"/>
      <c r="T12" s="67"/>
      <c r="U12" s="67"/>
      <c r="V12" s="67"/>
      <c r="W12" s="1674" t="str">
        <f>IF(AC9&lt;&gt;0,W9 &amp; " " &amp; X9 &amp;" " &amp; Y9 &amp;" " &amp; Z9 &amp; " "&amp; AA9  &amp; " "&amp; AB9  &amp; " "&amp; AC9,"")</f>
        <v/>
      </c>
      <c r="X12" s="1674"/>
      <c r="Y12" s="1674"/>
      <c r="Z12" s="1674"/>
      <c r="AA12" s="1674"/>
      <c r="AB12" s="1674"/>
      <c r="AC12" s="1674"/>
      <c r="AE12" s="67"/>
      <c r="AF12" s="67"/>
      <c r="AG12" s="239"/>
      <c r="AH12" s="239"/>
      <c r="AI12" s="247" t="e">
        <f>IF(AH9="","",IF(AC9&lt;&gt;0,X9&amp;""&amp;Y9&amp;" "&amp;Z9&amp;" "&amp;AH9&amp;AB6&amp;" "&amp;AI10&amp;AC6,""))</f>
        <v>#VALUE!</v>
      </c>
      <c r="AJ12" s="196"/>
      <c r="AK12" s="196"/>
      <c r="AL12" s="167"/>
      <c r="AM12" s="167"/>
      <c r="AN12" s="167"/>
      <c r="AO12" s="167"/>
      <c r="AQ12" s="258"/>
      <c r="AR12" s="259"/>
      <c r="AS12" s="260"/>
      <c r="AT12" s="261"/>
      <c r="AU12" s="258" t="str">
        <f>W66</f>
        <v/>
      </c>
      <c r="AV12" s="259" t="str">
        <f>AD69</f>
        <v/>
      </c>
      <c r="AW12" s="218"/>
      <c r="AX12" s="266"/>
      <c r="CQ12" s="25" t="str">
        <f t="shared" si="2"/>
        <v/>
      </c>
      <c r="CR12" s="1655" t="str">
        <f>IF($B$94&lt;&gt;"","",C12)</f>
        <v/>
      </c>
      <c r="CS12" s="1655"/>
      <c r="CT12" s="1655"/>
      <c r="CU12" s="1655"/>
      <c r="CV12" s="6" t="str">
        <f>IF($B$94&lt;&gt;"","",G12)</f>
        <v/>
      </c>
      <c r="CW12" s="206" t="str">
        <f>IF($B$94&lt;&gt;"","",H12)</f>
        <v/>
      </c>
    </row>
    <row r="13" spans="1:102" ht="13.8" x14ac:dyDescent="0.25">
      <c r="A13" s="9"/>
      <c r="B13" s="9" t="s">
        <v>800</v>
      </c>
      <c r="C13" s="71" t="s">
        <v>801</v>
      </c>
      <c r="D13" s="547"/>
      <c r="E13" s="110" t="s">
        <v>802</v>
      </c>
      <c r="F13" s="547"/>
      <c r="G13" s="337" t="s">
        <v>803</v>
      </c>
      <c r="H13" s="15"/>
      <c r="I13"/>
      <c r="J13" s="67"/>
      <c r="K13" s="67" t="s">
        <v>804</v>
      </c>
      <c r="L13" s="67"/>
      <c r="M13" s="67"/>
      <c r="N13" s="67"/>
      <c r="O13" s="67"/>
      <c r="P13" s="67"/>
      <c r="Q13" s="67"/>
      <c r="R13" s="67"/>
      <c r="S13" s="67"/>
      <c r="T13" s="67"/>
      <c r="U13" s="67"/>
      <c r="V13" s="67"/>
      <c r="W13" s="1674" t="str">
        <f>IF(X6&gt;0,"Total alojamiento en T. Nacional: "&amp;TEXT((X6),"#.###,00 €")&amp;" desglosado en:" &amp; W10 &amp;" " &amp;" " &amp; W11 &amp;" " &amp; W12,"")</f>
        <v/>
      </c>
      <c r="X13" s="1674"/>
      <c r="Y13" s="1674"/>
      <c r="Z13" s="1674"/>
      <c r="AA13" s="1674"/>
      <c r="AB13" s="1674"/>
      <c r="AC13" s="1674"/>
      <c r="AD13" s="1674"/>
      <c r="AE13" s="1674"/>
      <c r="AF13" s="1674"/>
      <c r="AG13" s="1674"/>
      <c r="AH13" s="1674"/>
      <c r="AI13" s="1674"/>
      <c r="AJ13" s="15" t="s">
        <v>805</v>
      </c>
      <c r="AQ13" s="252"/>
      <c r="AR13" s="252"/>
      <c r="AS13" s="252"/>
      <c r="AT13" s="252"/>
      <c r="AU13" s="252"/>
      <c r="AV13" s="252"/>
      <c r="CQ13" s="25" t="str">
        <f t="shared" si="2"/>
        <v/>
      </c>
      <c r="CR13" s="71" t="str">
        <f>IF($B$94&lt;&gt;"","",C13)</f>
        <v/>
      </c>
      <c r="CS13" s="226" t="str">
        <f>IF($B$94&lt;&gt;"","",D13)</f>
        <v/>
      </c>
      <c r="CT13" s="110" t="str">
        <f>IF($B$94&lt;&gt;"","",E13)</f>
        <v/>
      </c>
      <c r="CU13" s="226" t="str">
        <f>IF($B$94&lt;&gt;"","",F13)</f>
        <v/>
      </c>
      <c r="CV13" s="6"/>
    </row>
    <row r="14" spans="1:102" ht="15.6" x14ac:dyDescent="0.3">
      <c r="B14" s="48" t="s">
        <v>806</v>
      </c>
      <c r="C14" s="12"/>
      <c r="D14" s="94" t="s">
        <v>807</v>
      </c>
      <c r="E14" s="1709" t="str">
        <f>IF(F88&lt;&gt;"","",IF(I14&lt;1,"",IF(I14="","",IF(AND(C18&lt;&gt;"",F88="",I14&gt;0,C15&lt;&gt;C17),"Días intermedios, manutención con pernoctación, según días con derecho a dietas",""))))</f>
        <v/>
      </c>
      <c r="F14" s="1709"/>
      <c r="G14" s="1709"/>
      <c r="H14" s="1709"/>
      <c r="I14"/>
      <c r="J14" s="67"/>
      <c r="K14" s="67" t="s">
        <v>808</v>
      </c>
      <c r="L14" s="67"/>
      <c r="M14" s="67"/>
      <c r="N14" s="67"/>
      <c r="O14" s="67"/>
      <c r="P14" s="67"/>
      <c r="Q14" s="67"/>
      <c r="R14" s="67"/>
      <c r="S14" s="67"/>
      <c r="T14" s="67"/>
      <c r="U14" s="67"/>
      <c r="V14" s="67"/>
      <c r="W14" s="142" t="s">
        <v>809</v>
      </c>
      <c r="X14" s="280">
        <f>SUM(G23:G26)</f>
        <v>0</v>
      </c>
      <c r="Y14" s="67" t="s">
        <v>451</v>
      </c>
      <c r="AB14" s="67" t="s">
        <v>810</v>
      </c>
      <c r="AC14" s="67" t="s">
        <v>773</v>
      </c>
      <c r="AD14" s="67" t="s">
        <v>811</v>
      </c>
      <c r="AE14" s="67"/>
      <c r="AF14" s="67"/>
      <c r="AG14"/>
      <c r="AH14"/>
      <c r="AI14"/>
      <c r="AJ14" s="249" t="e">
        <f>AJ13&amp;" "&amp;AI11</f>
        <v>#VALUE!</v>
      </c>
      <c r="AK14"/>
      <c r="AL14"/>
      <c r="AM14"/>
      <c r="AN14"/>
      <c r="AO14"/>
      <c r="AQ14" s="262" t="s">
        <v>812</v>
      </c>
      <c r="AR14" s="267"/>
      <c r="AS14" s="267"/>
      <c r="AT14" s="267"/>
      <c r="AU14" s="263"/>
      <c r="AV14" s="263"/>
      <c r="AW14" s="98"/>
      <c r="AX14" s="264"/>
      <c r="CQ14" s="96" t="str">
        <f t="shared" si="2"/>
        <v/>
      </c>
      <c r="CR14" s="12"/>
      <c r="CS14" s="94"/>
      <c r="CT14" s="1549"/>
      <c r="CU14" s="1549"/>
      <c r="CV14" s="1549"/>
      <c r="CW14" s="1549"/>
    </row>
    <row r="15" spans="1:102" ht="13.8" x14ac:dyDescent="0.25">
      <c r="A15" s="10"/>
      <c r="B15" s="17" t="str">
        <f>IF(AND(C15&lt;&gt;"",D15=""),"Falta indicar la hora","Desde")</f>
        <v>Desde</v>
      </c>
      <c r="C15" s="70"/>
      <c r="D15" s="72"/>
      <c r="E15" s="1662" t="str">
        <f>IF(B15="Falta indicar la hora","",IF(AND(C2=M1,C15=C17,C15&lt;&gt;"",D15&gt;P10,D17&lt;=P12),"No corresponde dietas",IF(AND(C2=M1,C15=C17,C15&lt;&gt;"",D15&lt;=P10,D17&gt;P12),"Manutención sin pernoctar",IF(AND(C2=M1,C15=C17,C15&lt;&gt;"",D15&gt;P10,D17&gt;P12),"1/2 Manutención",IF(AND(C2=M1,C15=C17,C15&lt;&gt;"",D15&lt;=P10,D17&lt;=P11),"No corresponde dietas",IF(AND(C2=M1,C15=C17,C15&lt;&gt;"",D15&lt;=P10,D17&gt;P11,D17&lt;=P12),"1/2 Manutención",IF(AND(C2=M1,C15&lt;&gt;C17,C15&lt;&gt;"",D15&lt;=P10),"Para el día de salida: salida , manutención pernoctando",IF(AND(C2=M1,C15&lt;&gt;C17,C15&lt;&gt;"",D15&gt;P12),"Para el día de salida: No corresponde manutención",IF(AND(C2=M1,C15&lt;&gt;C17,C15&lt;&gt;"",D15&gt;P10),"Para el día de salida: salida 1/2 manutención",IF(AND(C2=M2,C15&lt;&gt;"",C15=C17,D15&lt;=M9,D17&gt;M10,N11&gt;=N9),"Sólo le corresponde 1/2 manutención",IF(AND(C2=M2,C15&lt;&gt;"",C15&lt;&gt;C17,D15&lt;=M9),"Para el día de salida: Manute. Completa",IF(AND(C2=M2,C15&lt;&gt;"",C15&lt;&gt;C17,D15&gt;M9,D15&lt;=M11),"Para el día de salida:1/2 manutención",IF(AND(C2=M2,C15&lt;&gt;"",C15&lt;&gt;C17,D15&gt;=M11),"Para el día de salida no corresponde dieta",IF(AND(OR(D15&gt;=M9,D17&lt;=M10,N11&lt;N9),C2=M2,C15&lt;&gt;"",C15=C17),"No le corresponde dietas",""))))))))))))))</f>
        <v/>
      </c>
      <c r="F15" s="1662"/>
      <c r="G15" s="1662"/>
      <c r="H15" s="1662"/>
      <c r="I15" s="144"/>
      <c r="J15" s="67"/>
      <c r="K15" s="67" t="s">
        <v>813</v>
      </c>
      <c r="L15" s="67"/>
      <c r="M15" s="67"/>
      <c r="N15" s="67"/>
      <c r="O15" s="67"/>
      <c r="P15" s="15" t="s">
        <v>86</v>
      </c>
      <c r="Q15" s="67"/>
      <c r="R15" s="67"/>
      <c r="S15" s="67"/>
      <c r="T15" s="67"/>
      <c r="U15" s="67"/>
      <c r="V15" s="67"/>
      <c r="W15" s="165" t="str">
        <f t="shared" ref="W15:Y18" si="3">B23</f>
        <v>1/2 manutención</v>
      </c>
      <c r="X15" s="183">
        <f t="shared" si="3"/>
        <v>0</v>
      </c>
      <c r="Y15" s="165" t="str">
        <f t="shared" si="3"/>
        <v>día</v>
      </c>
      <c r="Z15" s="165" t="s">
        <v>780</v>
      </c>
      <c r="AA15" s="164" t="str">
        <f t="shared" ref="AA15:AC18" si="4">E23</f>
        <v/>
      </c>
      <c r="AB15" s="165" t="str">
        <f t="shared" si="4"/>
        <v>€/día</v>
      </c>
      <c r="AC15" s="184">
        <f t="shared" si="4"/>
        <v>0</v>
      </c>
      <c r="AD15" s="189"/>
      <c r="AE15" s="189"/>
      <c r="AF15" s="67"/>
      <c r="AG15"/>
      <c r="AH15"/>
      <c r="AI15"/>
      <c r="AJ15" s="250" t="e">
        <f>IF(AI12="","",AJ13&amp;" "&amp;W9&amp;" "&amp;AI12)</f>
        <v>#VALUE!</v>
      </c>
      <c r="AK15"/>
      <c r="AL15"/>
      <c r="AM15"/>
      <c r="AN15"/>
      <c r="AO15"/>
      <c r="AQ15" s="255"/>
      <c r="AR15" s="252"/>
      <c r="AS15" s="252"/>
      <c r="AT15" s="252"/>
      <c r="AU15" s="252"/>
      <c r="AV15" s="252"/>
      <c r="AX15" s="265"/>
      <c r="CQ15" s="17" t="str">
        <f t="shared" si="2"/>
        <v/>
      </c>
      <c r="CR15" s="207" t="str">
        <f>IF(C15="","",IF($B$94&lt;&gt;"","",C15))</f>
        <v/>
      </c>
      <c r="CS15" s="208" t="str">
        <f>IF(D15="","",IF($B$94&lt;&gt;"","",D15))</f>
        <v/>
      </c>
      <c r="CT15" s="1648" t="str">
        <f>IF($B$94&lt;&gt;"","",E15)</f>
        <v/>
      </c>
      <c r="CU15" s="1648"/>
      <c r="CV15" s="1648"/>
      <c r="CW15" s="1648"/>
    </row>
    <row r="16" spans="1:102" ht="13.8" x14ac:dyDescent="0.25">
      <c r="A16" s="10"/>
      <c r="B16" s="17"/>
      <c r="C16" s="136"/>
      <c r="D16" s="135"/>
      <c r="E16" s="1691" t="str">
        <f>IF(B8=K1,"",IF(K19&lt;1,"",IF(K19="","",IF(AND(C18&lt;&gt;"",K19&gt;0,C15&lt;&gt;C17),"Días intermedios, manutención completa según días con derecho a dietas",""))))</f>
        <v/>
      </c>
      <c r="F16" s="1691"/>
      <c r="G16" s="1691"/>
      <c r="H16" s="1691"/>
      <c r="I16" s="1691"/>
      <c r="J16" s="67"/>
      <c r="K16" s="67" t="s">
        <v>814</v>
      </c>
      <c r="L16" s="67"/>
      <c r="M16" s="67"/>
      <c r="N16" s="67"/>
      <c r="O16" s="67"/>
      <c r="P16" s="15" t="s">
        <v>89</v>
      </c>
      <c r="Q16" s="67"/>
      <c r="R16" s="67"/>
      <c r="S16" s="67"/>
      <c r="T16" s="67"/>
      <c r="U16" s="67"/>
      <c r="V16" s="67"/>
      <c r="W16" s="165" t="str">
        <f t="shared" si="3"/>
        <v/>
      </c>
      <c r="X16" s="183">
        <f t="shared" si="3"/>
        <v>0</v>
      </c>
      <c r="Y16" s="165" t="str">
        <f t="shared" si="3"/>
        <v>día</v>
      </c>
      <c r="Z16" s="165" t="s">
        <v>780</v>
      </c>
      <c r="AA16" s="164" t="str">
        <f t="shared" si="4"/>
        <v/>
      </c>
      <c r="AB16" s="165" t="str">
        <f t="shared" si="4"/>
        <v>€/día</v>
      </c>
      <c r="AC16" s="184" t="str">
        <f t="shared" si="4"/>
        <v/>
      </c>
      <c r="AD16" s="189"/>
      <c r="AE16" s="189"/>
      <c r="AF16" s="67"/>
      <c r="AG16"/>
      <c r="AH16"/>
      <c r="AI16"/>
      <c r="AJ16"/>
      <c r="AK16"/>
      <c r="AL16"/>
      <c r="AM16"/>
      <c r="AN16"/>
      <c r="AO16"/>
      <c r="AQ16" s="257" t="s">
        <v>788</v>
      </c>
      <c r="AX16" s="265"/>
      <c r="CQ16" s="17"/>
      <c r="CR16" s="136"/>
      <c r="CS16" s="135"/>
      <c r="CT16" s="1652" t="str">
        <f>IF($B$94&lt;&gt;"","",E16)</f>
        <v/>
      </c>
      <c r="CU16" s="1652"/>
      <c r="CV16" s="1652"/>
      <c r="CW16" s="1652"/>
      <c r="CX16" s="1652"/>
    </row>
    <row r="17" spans="1:102" ht="13.95" customHeight="1" x14ac:dyDescent="0.25">
      <c r="A17" s="10"/>
      <c r="B17" s="17" t="str">
        <f>IF(AND(C17&lt;&gt;"",D17=""),"Falta indicar la hora","Hasta")</f>
        <v>Hasta</v>
      </c>
      <c r="C17" s="70"/>
      <c r="D17" s="72"/>
      <c r="E17" s="1691" t="str">
        <f>IF(B17="Falta indicar la hora","",IF(D17="","",IF(AND(C2=M1,D17&gt;P12,C15&lt;&gt;C17,D17&lt;&gt;""),"Para el día de regreso: manutención sin pernoctar",IF(AND(C2=M1,D17&lt;=P11,C15&lt;&gt;C17),"Para el días de regreso: No corresponde manutención",IF(AND(C2=M1,C15&lt;&gt;C17,D17&gt;P11,D17&lt;=P12),"Para el día de regreso:  1/2 manutención",IF(AND(C2=M2,C17&lt;&gt;"",C15&lt;&gt;C17,D17&gt;M11),"Para el día de regreso: regreso posterior a las 22:00 H,",IF(AND(C2=M2,C17&lt;&gt;"",C15&lt;&gt;C17,D17&gt;M9),"Para el día de regreso: Regreso posterior a las 14:00 H 1/2 nanut.",IF(AND(C2=M2,C17&lt;&gt;"",C15&lt;&gt;C17,D17&lt;=M9),"Para el día de regreso no corresponde dieta",""))))))))</f>
        <v/>
      </c>
      <c r="F17" s="1691"/>
      <c r="G17" s="1691"/>
      <c r="H17" s="1691"/>
      <c r="I17" s="1691"/>
      <c r="J17" s="67"/>
      <c r="K17" s="67"/>
      <c r="L17" s="67"/>
      <c r="M17" s="67"/>
      <c r="N17" s="67"/>
      <c r="O17" s="67"/>
      <c r="P17" s="15" t="s">
        <v>92</v>
      </c>
      <c r="Q17" s="67"/>
      <c r="R17" s="67"/>
      <c r="S17" s="67"/>
      <c r="T17" s="67"/>
      <c r="U17" s="67"/>
      <c r="V17" s="67"/>
      <c r="W17" s="165" t="str">
        <f t="shared" si="3"/>
        <v>Manutención (según factura/Ticket)</v>
      </c>
      <c r="X17" s="183">
        <f t="shared" si="3"/>
        <v>0</v>
      </c>
      <c r="Y17" s="165" t="str">
        <f t="shared" si="3"/>
        <v>día</v>
      </c>
      <c r="Z17" s="165" t="s">
        <v>780</v>
      </c>
      <c r="AA17" s="164">
        <f t="shared" si="4"/>
        <v>0</v>
      </c>
      <c r="AB17" s="165" t="str">
        <f t="shared" si="4"/>
        <v>€/día</v>
      </c>
      <c r="AC17" s="184">
        <f t="shared" si="4"/>
        <v>0</v>
      </c>
      <c r="AD17" s="189"/>
      <c r="AE17" s="189"/>
      <c r="AF17" s="67"/>
      <c r="AG17"/>
      <c r="AH17"/>
      <c r="AI17"/>
      <c r="AJ17"/>
      <c r="AK17"/>
      <c r="AL17"/>
      <c r="AM17"/>
      <c r="AN17"/>
      <c r="AO17"/>
      <c r="AQ17" s="257" t="s">
        <v>451</v>
      </c>
      <c r="AR17" s="253" t="e">
        <f>AJ15</f>
        <v>#VALUE!</v>
      </c>
      <c r="AX17" s="265"/>
      <c r="CQ17" s="17" t="str">
        <f>IF($B$94&lt;&gt;"","",B17)</f>
        <v/>
      </c>
      <c r="CR17" s="207" t="str">
        <f>IF(C17="","",IF($B$94&lt;&gt;"","",C17))</f>
        <v/>
      </c>
      <c r="CS17" s="208" t="str">
        <f>IF(D17="","",IF($B$94&lt;&gt;"","",D17))</f>
        <v/>
      </c>
      <c r="CT17" s="1652" t="str">
        <f>IF($B$94&lt;&gt;"","",E17)</f>
        <v/>
      </c>
      <c r="CU17" s="1652"/>
      <c r="CV17" s="1652"/>
      <c r="CW17" s="1652"/>
      <c r="CX17" s="1652"/>
    </row>
    <row r="18" spans="1:102" ht="13.8" x14ac:dyDescent="0.25">
      <c r="A18" s="10"/>
      <c r="B18" s="17" t="s">
        <v>815</v>
      </c>
      <c r="C18" s="113" t="str">
        <f>IF(OR(C15="",C17=""),"",C17-C15+1)</f>
        <v/>
      </c>
      <c r="D18" s="336" t="s">
        <v>803</v>
      </c>
      <c r="E18" s="1662" t="str">
        <f>IF(AND(C2=M2,C17&lt;&gt;"",C15&lt;&gt;C17,D17&gt;M11),"excepcionalmente manut. Completa, previa factura de la cena.","")</f>
        <v/>
      </c>
      <c r="F18" s="1662"/>
      <c r="G18" s="1662"/>
      <c r="H18" s="1662"/>
      <c r="I18" s="1662"/>
      <c r="J18" s="67"/>
      <c r="K18" s="67" t="s">
        <v>816</v>
      </c>
      <c r="L18" s="345">
        <f>SUM(G20:G26)</f>
        <v>0</v>
      </c>
      <c r="M18" s="67"/>
      <c r="N18" s="67"/>
      <c r="O18" s="67"/>
      <c r="P18" s="15" t="s">
        <v>97</v>
      </c>
      <c r="Q18" s="67"/>
      <c r="R18" s="67"/>
      <c r="S18" s="67"/>
      <c r="T18" s="67"/>
      <c r="U18" s="67"/>
      <c r="V18" s="67"/>
      <c r="W18" s="165" t="str">
        <f t="shared" si="3"/>
        <v/>
      </c>
      <c r="X18" s="183">
        <f t="shared" si="3"/>
        <v>0</v>
      </c>
      <c r="Y18" s="165" t="str">
        <f t="shared" si="3"/>
        <v/>
      </c>
      <c r="Z18" s="165" t="s">
        <v>780</v>
      </c>
      <c r="AA18" s="164" t="str">
        <f t="shared" si="4"/>
        <v/>
      </c>
      <c r="AB18" s="165" t="str">
        <f t="shared" si="4"/>
        <v/>
      </c>
      <c r="AC18" s="184" t="str">
        <f t="shared" si="4"/>
        <v/>
      </c>
      <c r="AD18" s="189"/>
      <c r="AE18" s="189"/>
      <c r="AF18" s="67"/>
      <c r="AG18"/>
      <c r="AH18"/>
      <c r="AI18"/>
      <c r="AJ18"/>
      <c r="AK18"/>
      <c r="AL18"/>
      <c r="AM18"/>
      <c r="AN18"/>
      <c r="AO18"/>
      <c r="AQ18" s="257"/>
      <c r="AR18" s="253" t="e">
        <f>AI36</f>
        <v>#VALUE!</v>
      </c>
      <c r="AX18" s="265"/>
      <c r="CQ18" s="17" t="str">
        <f>IF($B$94&lt;&gt;"","",B18)</f>
        <v/>
      </c>
      <c r="CR18" s="113" t="str">
        <f>IF($B$94&lt;&gt;"","",C18)</f>
        <v/>
      </c>
      <c r="CS18" s="10"/>
      <c r="CT18" s="1648"/>
      <c r="CU18" s="1648"/>
      <c r="CV18" s="1648"/>
      <c r="CW18" s="1648"/>
      <c r="CX18" s="1648"/>
    </row>
    <row r="19" spans="1:102" ht="13.2" customHeight="1" x14ac:dyDescent="0.25">
      <c r="A19" s="10"/>
      <c r="B19" s="117"/>
      <c r="C19" s="71"/>
      <c r="D19" s="10"/>
      <c r="E19" s="10"/>
      <c r="F19" s="10"/>
      <c r="G19" s="10"/>
      <c r="H19" s="12"/>
      <c r="I19"/>
      <c r="J19" s="67"/>
      <c r="K19" s="67" t="str">
        <f>IF(C18="","",C18-2)</f>
        <v/>
      </c>
      <c r="L19" s="67"/>
      <c r="M19" s="67"/>
      <c r="N19" s="67"/>
      <c r="O19" s="67"/>
      <c r="P19" s="15" t="s">
        <v>103</v>
      </c>
      <c r="Q19" s="67"/>
      <c r="R19" s="67"/>
      <c r="S19" s="67"/>
      <c r="T19" s="67"/>
      <c r="U19" s="67"/>
      <c r="V19" s="67"/>
      <c r="W19" s="1674" t="str">
        <f>IF(AC15&lt;&gt;0,W15 &amp; " " &amp; X15 &amp;" " &amp; Y15 &amp;" " &amp; Z15 &amp; " "&amp; AA15  &amp; " "&amp; AB15  &amp; " "&amp; AC15,"")</f>
        <v/>
      </c>
      <c r="X19" s="1674"/>
      <c r="Y19" s="1674"/>
      <c r="Z19" s="1674"/>
      <c r="AA19" s="1674"/>
      <c r="AB19" s="1674"/>
      <c r="AC19" s="1674"/>
      <c r="AD19" s="144" t="str">
        <f>IF(AC15&lt;&gt;0,AD14&amp;" "&amp;" "&amp;X15&amp;" "&amp;Y15&amp;" "&amp;Z15&amp;" "&amp;AA15&amp;$AB$14&amp;" "&amp;AC15&amp;$AC$14,"")</f>
        <v/>
      </c>
      <c r="AE19" s="67"/>
      <c r="AF19" s="67"/>
      <c r="AG19"/>
      <c r="AH19"/>
      <c r="AI19"/>
      <c r="AJ19"/>
      <c r="AK19"/>
      <c r="AL19"/>
      <c r="AM19"/>
      <c r="AN19"/>
      <c r="AO19"/>
      <c r="AQ19" s="257"/>
      <c r="AR19" s="253" t="e">
        <f>AL54</f>
        <v>#VALUE!</v>
      </c>
      <c r="AX19" s="265"/>
      <c r="CQ19" s="117"/>
      <c r="CR19" s="71"/>
      <c r="CS19" s="10"/>
      <c r="CT19" s="10"/>
      <c r="CU19" s="10"/>
      <c r="CV19" s="10"/>
      <c r="CW19" s="12"/>
    </row>
    <row r="20" spans="1:102" ht="13.8" x14ac:dyDescent="0.25">
      <c r="A20" s="10"/>
      <c r="B20" s="323" t="s">
        <v>817</v>
      </c>
      <c r="C20" s="340"/>
      <c r="D20" s="62" t="str">
        <f>IF(C20&gt;1,"noches","noche")</f>
        <v>noche</v>
      </c>
      <c r="E20" s="35" t="str">
        <f>IF(B8=K2,O7,IF(B8=K3,R8,IF(B8=K4,S8,"")))</f>
        <v/>
      </c>
      <c r="F20" s="78" t="s">
        <v>818</v>
      </c>
      <c r="G20" s="60" t="str">
        <f>IF(E20="","",C20*E20)</f>
        <v/>
      </c>
      <c r="H20" s="12"/>
      <c r="I20"/>
      <c r="J20" s="67"/>
      <c r="K20" s="67" t="s">
        <v>611</v>
      </c>
      <c r="L20" s="67" t="s">
        <v>613</v>
      </c>
      <c r="M20" s="67"/>
      <c r="N20" s="67"/>
      <c r="O20" s="67"/>
      <c r="P20" s="15" t="s">
        <v>108</v>
      </c>
      <c r="Q20" s="67"/>
      <c r="R20" s="67"/>
      <c r="S20" s="67"/>
      <c r="T20" s="67"/>
      <c r="U20" s="67"/>
      <c r="V20" s="67"/>
      <c r="W20" s="1674" t="str">
        <f>IF(AC16&lt;&gt;0,W16 &amp; " " &amp; X16 &amp;" " &amp; Y16 &amp;" " &amp; Z16 &amp; " "&amp; AA16  &amp; " "&amp; AB16  &amp; " "&amp; AC16,"")</f>
        <v xml:space="preserve"> 0 día a  €/día </v>
      </c>
      <c r="X20" s="1674"/>
      <c r="Y20" s="1674"/>
      <c r="Z20" s="1674"/>
      <c r="AA20" s="1674"/>
      <c r="AB20" s="1674"/>
      <c r="AC20" s="1674"/>
      <c r="AD20" s="144" t="str">
        <f>IF(AC16&lt;&gt;0,X16&amp;" "&amp;Y16&amp;" "&amp;Z16&amp;" "&amp;AA16&amp;$AB$14&amp;" "&amp;AC16&amp;$AC$14,"")</f>
        <v>0 día a €/D €;</v>
      </c>
      <c r="AE20" s="67"/>
      <c r="AF20" s="67"/>
      <c r="AG20"/>
      <c r="AH20"/>
      <c r="AI20"/>
      <c r="AJ20"/>
      <c r="AK20"/>
      <c r="AL20"/>
      <c r="AM20"/>
      <c r="AN20"/>
      <c r="AO20"/>
      <c r="AQ20" s="258"/>
      <c r="AR20" s="259" t="e">
        <f>AL75</f>
        <v>#VALUE!</v>
      </c>
      <c r="AS20" s="218"/>
      <c r="AT20" s="218"/>
      <c r="AU20" s="218"/>
      <c r="AV20" s="218"/>
      <c r="AW20" s="218"/>
      <c r="AX20" s="266"/>
      <c r="CQ20" s="198" t="str">
        <f>IF($B$94&lt;&gt;"","",B20)</f>
        <v/>
      </c>
      <c r="CR20" s="209" t="str">
        <f>IF(C20="","",IF($B$94&lt;&gt;"","",C20))</f>
        <v/>
      </c>
      <c r="CS20" s="62" t="str">
        <f>IF($B$94&lt;&gt;"","",D20)</f>
        <v/>
      </c>
      <c r="CT20" s="35" t="str">
        <f>IF($B$94&lt;&gt;"","",E20)</f>
        <v/>
      </c>
      <c r="CU20" s="78" t="str">
        <f>IF($B$94&lt;&gt;"","",F20)</f>
        <v/>
      </c>
      <c r="CV20" s="60" t="str">
        <f>IF($B$94&lt;&gt;"","",G20)</f>
        <v/>
      </c>
      <c r="CW20" s="12"/>
    </row>
    <row r="21" spans="1:102" ht="13.8" x14ac:dyDescent="0.25">
      <c r="A21" s="10"/>
      <c r="B21" s="323" t="s">
        <v>819</v>
      </c>
      <c r="C21" s="340"/>
      <c r="D21" s="62" t="str">
        <f>IF(C21&gt;1,"noches","noche")</f>
        <v>noche</v>
      </c>
      <c r="E21" s="35">
        <f>IF(C21="",0,G21/C21)</f>
        <v>0</v>
      </c>
      <c r="F21" s="78" t="s">
        <v>818</v>
      </c>
      <c r="G21" s="119">
        <v>0</v>
      </c>
      <c r="H21" s="1690" t="str">
        <f>IF(AND(C21="",G21&gt;0),"Falta indicar las noches",IF(L21="","",IF(L21&gt;0,"Supera el Decreto en"&amp;TEXT((L21)," #.##0,00 €"),"")))</f>
        <v/>
      </c>
      <c r="I21" s="1690"/>
      <c r="J21" s="67"/>
      <c r="K21" s="178" t="str">
        <f>IF(E20="","",C21*E20)</f>
        <v/>
      </c>
      <c r="L21" s="153" t="str">
        <f>IF(K21="","",G21-K21)</f>
        <v/>
      </c>
      <c r="M21" s="67" t="s">
        <v>566</v>
      </c>
      <c r="N21" s="67"/>
      <c r="O21" s="67"/>
      <c r="P21" s="15" t="s">
        <v>112</v>
      </c>
      <c r="Q21" s="67"/>
      <c r="R21" s="67"/>
      <c r="S21" s="67"/>
      <c r="T21" s="67"/>
      <c r="U21" s="67"/>
      <c r="V21" s="67"/>
      <c r="W21" s="1674" t="str">
        <f>IF(AC17&lt;&gt;0,W17 &amp; " " &amp; X17 &amp;" " &amp; Y17 &amp;" " &amp; Z17 &amp; " "&amp; AA17  &amp; " "&amp; AB17  &amp; " "&amp; AC17,"")</f>
        <v/>
      </c>
      <c r="X21" s="1674"/>
      <c r="Y21" s="1674"/>
      <c r="Z21" s="1674"/>
      <c r="AA21" s="1674"/>
      <c r="AB21" s="1674"/>
      <c r="AC21" s="1674"/>
      <c r="AD21" s="144" t="str">
        <f>IF(AC17&lt;&gt;0,X17&amp;" "&amp;Y17&amp;" "&amp;Z17&amp;" "&amp;AA17&amp;$AB$14&amp;" "&amp;AC17&amp;$AC$14,"")</f>
        <v/>
      </c>
      <c r="AE21" s="67"/>
      <c r="AF21" s="67" t="str">
        <f>IF(X14&gt;0,"Manut. T.N."&amp;AD19&amp;" "&amp;AD20&amp;" "&amp;AD21&amp;" "&amp;AD22,"")</f>
        <v/>
      </c>
      <c r="CQ21" s="198" t="str">
        <f t="shared" ref="CQ21:CQ26" si="5">IF($B$94&lt;&gt;"","",B21)</f>
        <v/>
      </c>
      <c r="CR21" s="209" t="str">
        <f t="shared" ref="CR21:CR26" si="6">IF(C21="","",IF($B$94&lt;&gt;"","",C21))</f>
        <v/>
      </c>
      <c r="CS21" s="62" t="str">
        <f t="shared" ref="CS21:CS26" si="7">IF($B$94&lt;&gt;"","",D21)</f>
        <v/>
      </c>
      <c r="CT21" s="35" t="str">
        <f t="shared" ref="CT21:CT26" si="8">IF($B$94&lt;&gt;"","",E21)</f>
        <v/>
      </c>
      <c r="CU21" s="78" t="str">
        <f t="shared" ref="CU21:CU26" si="9">IF($B$94&lt;&gt;"","",F21)</f>
        <v/>
      </c>
      <c r="CV21" s="60" t="str">
        <f t="shared" ref="CV21:CV26" si="10">IF($B$94&lt;&gt;"","",G21)</f>
        <v/>
      </c>
      <c r="CW21" s="1648" t="str">
        <f>IF($B$94&lt;&gt;"","",H21)</f>
        <v/>
      </c>
      <c r="CX21" s="1648"/>
    </row>
    <row r="22" spans="1:102" ht="13.8" x14ac:dyDescent="0.25">
      <c r="A22" s="10"/>
      <c r="B22" s="324" t="s">
        <v>820</v>
      </c>
      <c r="C22" s="340"/>
      <c r="D22" s="62" t="str">
        <f>IF(C22&gt;1,"noches","noche")</f>
        <v>noche</v>
      </c>
      <c r="E22" s="130">
        <f>IF(C22="",0,G22/C22)</f>
        <v>0</v>
      </c>
      <c r="F22" s="78" t="s">
        <v>818</v>
      </c>
      <c r="G22" s="92">
        <v>0</v>
      </c>
      <c r="H22" s="1690" t="str">
        <f>IF(AND(C22="",G22&gt;0),"Falta indicar las noches",IF(L22="","",IF(L22&gt;0,"Supera el Decreto en"&amp;TEXT((L22)," #.##0,00 €"),M22)))</f>
        <v/>
      </c>
      <c r="I22" s="1690"/>
      <c r="J22" s="67"/>
      <c r="K22" s="153" t="str">
        <f>IF(E20="","",C22*E20)</f>
        <v/>
      </c>
      <c r="L22" s="153" t="str">
        <f>IF(K22="","",G22-K22)</f>
        <v/>
      </c>
      <c r="M22" s="67" t="s">
        <v>821</v>
      </c>
      <c r="N22" s="67"/>
      <c r="O22" s="67"/>
      <c r="P22" s="15" t="s">
        <v>116</v>
      </c>
      <c r="Q22" s="67"/>
      <c r="R22" s="67"/>
      <c r="S22" s="67"/>
      <c r="T22" s="67"/>
      <c r="U22" s="67"/>
      <c r="V22" s="67"/>
      <c r="W22" s="1674" t="str">
        <f>IF(OR(AC18=0,AC18=""),"",W18&amp;" "&amp;X18&amp;" "&amp;Y18&amp;" "&amp;Z18&amp;" "&amp;AA18&amp;" "&amp;AB18&amp;" "&amp;AC18)</f>
        <v/>
      </c>
      <c r="X22" s="1674"/>
      <c r="Y22" s="1674"/>
      <c r="Z22" s="1674"/>
      <c r="AA22" s="1674"/>
      <c r="AB22" s="1674"/>
      <c r="AC22" s="1674"/>
      <c r="AD22" s="144" t="str">
        <f>IF(AC18&lt;&gt;"",X18&amp;" "&amp;Y18&amp;" "&amp;Z18&amp;" "&amp;AA18&amp;$AB$14&amp;" "&amp;AC18&amp;$AC$14,"")</f>
        <v/>
      </c>
      <c r="AE22" s="67"/>
      <c r="AF22" s="67"/>
      <c r="AQ22" s="15" t="s">
        <v>822</v>
      </c>
      <c r="CQ22" s="25" t="str">
        <f t="shared" si="5"/>
        <v/>
      </c>
      <c r="CR22" s="209" t="str">
        <f t="shared" si="6"/>
        <v/>
      </c>
      <c r="CS22" s="62" t="str">
        <f t="shared" si="7"/>
        <v/>
      </c>
      <c r="CT22" s="35" t="str">
        <f t="shared" si="8"/>
        <v/>
      </c>
      <c r="CU22" s="78" t="str">
        <f t="shared" si="9"/>
        <v/>
      </c>
      <c r="CV22" s="60" t="str">
        <f t="shared" si="10"/>
        <v/>
      </c>
      <c r="CW22" s="1648" t="str">
        <f>IF($B$94&lt;&gt;"","",H22)</f>
        <v/>
      </c>
      <c r="CX22" s="1648"/>
    </row>
    <row r="23" spans="1:102" ht="13.8" x14ac:dyDescent="0.25">
      <c r="A23" s="10"/>
      <c r="B23" s="325" t="s">
        <v>456</v>
      </c>
      <c r="C23" s="340"/>
      <c r="D23" s="62" t="str">
        <f>IF(C23&gt;1,"días","día")</f>
        <v>día</v>
      </c>
      <c r="E23" s="35" t="str">
        <f>IF(B8=K2,O6,IF(B8=K3,R7,IF(B8=K4,S7,"")))</f>
        <v/>
      </c>
      <c r="F23" s="78" t="s">
        <v>823</v>
      </c>
      <c r="G23" s="58">
        <f>IF(AND(C23&gt;0,B8=K1),0,IF(C23="",0,C23*E23))</f>
        <v>0</v>
      </c>
      <c r="H23" s="1694" t="s">
        <v>824</v>
      </c>
      <c r="I23" s="1694"/>
      <c r="J23" s="67"/>
      <c r="K23" s="67" t="s">
        <v>611</v>
      </c>
      <c r="L23" s="67" t="s">
        <v>613</v>
      </c>
      <c r="M23" s="67"/>
      <c r="N23" s="67"/>
      <c r="O23" s="67"/>
      <c r="P23" s="15" t="s">
        <v>122</v>
      </c>
      <c r="Q23" s="67"/>
      <c r="R23" s="67"/>
      <c r="S23" s="67"/>
      <c r="T23" s="67"/>
      <c r="U23" s="67"/>
      <c r="V23" s="67"/>
      <c r="W23" s="1674" t="str">
        <f>IF(X14&gt;0,"Total manutención en T. Nacional: "&amp;TEXT((X14),"#.###,00 €")&amp;" desglosado en:" &amp; W19 &amp;" " &amp;" " &amp; W20 &amp;" " &amp; W21&amp;" " &amp;W21,"")</f>
        <v/>
      </c>
      <c r="X23" s="1674"/>
      <c r="Y23" s="1674"/>
      <c r="Z23" s="1674"/>
      <c r="AA23" s="1674"/>
      <c r="AB23" s="1674"/>
      <c r="AC23" s="1674"/>
      <c r="AD23" s="1674"/>
      <c r="AE23" s="1674"/>
      <c r="AF23" s="1674"/>
      <c r="AG23" s="1674"/>
      <c r="AH23" s="1674"/>
      <c r="AI23" s="1674"/>
      <c r="AJ23" s="1674"/>
      <c r="AQ23" s="15" t="s">
        <v>825</v>
      </c>
      <c r="CQ23" s="198" t="str">
        <f t="shared" si="5"/>
        <v/>
      </c>
      <c r="CR23" s="209" t="str">
        <f t="shared" si="6"/>
        <v/>
      </c>
      <c r="CS23" s="62" t="str">
        <f t="shared" si="7"/>
        <v/>
      </c>
      <c r="CT23" s="35" t="str">
        <f t="shared" si="8"/>
        <v/>
      </c>
      <c r="CU23" s="78" t="str">
        <f t="shared" si="9"/>
        <v/>
      </c>
      <c r="CV23" s="60" t="str">
        <f t="shared" si="10"/>
        <v/>
      </c>
      <c r="CW23" s="227"/>
    </row>
    <row r="24" spans="1:102" ht="13.8" x14ac:dyDescent="0.25">
      <c r="A24" s="10"/>
      <c r="B24" s="326" t="str">
        <f>IF(B8=K2,M5,IF(B8=K3,P5,IF(B8=K4,P5,"")))</f>
        <v/>
      </c>
      <c r="C24" s="340"/>
      <c r="D24" s="62" t="str">
        <f>IF(C24&gt;1,"días","día")</f>
        <v>día</v>
      </c>
      <c r="E24" s="35" t="str">
        <f>IF(B24="","",IF(B24=M5,O5,IF(AND(B8=K3,B24=P5),R5,IF(AND(B8=K4,B24=P5),S5,""))))</f>
        <v/>
      </c>
      <c r="F24" s="78" t="s">
        <v>823</v>
      </c>
      <c r="G24" s="61" t="str">
        <f>IF(B24="","",C24*E24)</f>
        <v/>
      </c>
      <c r="H24" s="26"/>
      <c r="I24"/>
      <c r="J24" s="67"/>
      <c r="K24" s="138"/>
      <c r="L24" s="157"/>
      <c r="M24" s="67" t="s">
        <v>826</v>
      </c>
      <c r="N24" s="67"/>
      <c r="O24" s="67"/>
      <c r="P24" s="15" t="s">
        <v>132</v>
      </c>
      <c r="Q24" s="67"/>
      <c r="R24" s="67"/>
      <c r="S24" s="67"/>
      <c r="T24" s="67"/>
      <c r="U24" s="67"/>
      <c r="V24" s="67"/>
      <c r="W24" s="67"/>
      <c r="AE24" s="67"/>
      <c r="AF24" s="67"/>
      <c r="AQ24" s="15" t="str">
        <f>Y14</f>
        <v>ESPAÑA</v>
      </c>
      <c r="AR24" s="169">
        <f>X14</f>
        <v>0</v>
      </c>
      <c r="CQ24" s="198" t="str">
        <f t="shared" si="5"/>
        <v/>
      </c>
      <c r="CR24" s="209" t="str">
        <f t="shared" si="6"/>
        <v/>
      </c>
      <c r="CS24" s="62" t="str">
        <f t="shared" si="7"/>
        <v/>
      </c>
      <c r="CT24" s="35" t="str">
        <f t="shared" si="8"/>
        <v/>
      </c>
      <c r="CU24" s="78" t="str">
        <f t="shared" si="9"/>
        <v/>
      </c>
      <c r="CV24" s="60" t="str">
        <f t="shared" si="10"/>
        <v/>
      </c>
      <c r="CW24" s="6"/>
    </row>
    <row r="25" spans="1:102" ht="13.95" customHeight="1" x14ac:dyDescent="0.25">
      <c r="A25" s="10"/>
      <c r="B25" s="325" t="s">
        <v>827</v>
      </c>
      <c r="C25" s="341"/>
      <c r="D25" s="62" t="str">
        <f>IF(C25&gt;1,"días","día")</f>
        <v>día</v>
      </c>
      <c r="E25" s="35">
        <f>IF(C25="",0,G25/C25)</f>
        <v>0</v>
      </c>
      <c r="F25" s="78" t="s">
        <v>823</v>
      </c>
      <c r="G25" s="120">
        <v>0</v>
      </c>
      <c r="H25" s="1690" t="str">
        <f>IF(AND(C25="",G25&gt;0),"Falta indicar los días",IF(L25="","",IF(L25&gt;0,"Supera el Decreto en"&amp;TEXT((L25)," #.##0,00 €"),"")))</f>
        <v/>
      </c>
      <c r="I25" s="1690"/>
      <c r="J25" s="67"/>
      <c r="K25" s="158" t="str">
        <f>IF(C25="","",IF(B8=K2,O5*C25,IF(B8=K3,R5*C25,IF(B8=K4,S5*C25,""))))</f>
        <v/>
      </c>
      <c r="L25" s="157" t="str">
        <f>IF(K25="","",G25-K25)</f>
        <v/>
      </c>
      <c r="M25" s="67" t="s">
        <v>826</v>
      </c>
      <c r="N25" s="67"/>
      <c r="O25" s="67"/>
      <c r="P25" s="15" t="s">
        <v>96</v>
      </c>
      <c r="Q25" s="67"/>
      <c r="R25" s="67"/>
      <c r="S25" s="67"/>
      <c r="T25" s="67"/>
      <c r="U25" s="67"/>
      <c r="V25" s="67"/>
      <c r="W25" s="67"/>
      <c r="X25" s="152" t="s">
        <v>767</v>
      </c>
      <c r="Y25" s="152" t="s">
        <v>768</v>
      </c>
      <c r="Z25" s="158">
        <f>X27+X35</f>
        <v>0</v>
      </c>
      <c r="AE25" s="67"/>
      <c r="AF25" s="67"/>
      <c r="AQ25" s="15" t="str">
        <f>W26</f>
        <v/>
      </c>
      <c r="AR25" s="169">
        <f>X35</f>
        <v>0</v>
      </c>
      <c r="CQ25" s="198" t="str">
        <f t="shared" si="5"/>
        <v/>
      </c>
      <c r="CR25" s="210" t="str">
        <f t="shared" si="6"/>
        <v/>
      </c>
      <c r="CS25" s="62" t="str">
        <f t="shared" si="7"/>
        <v/>
      </c>
      <c r="CT25" s="35" t="str">
        <f t="shared" si="8"/>
        <v/>
      </c>
      <c r="CU25" s="78" t="str">
        <f t="shared" si="9"/>
        <v/>
      </c>
      <c r="CV25" s="60" t="str">
        <f t="shared" si="10"/>
        <v/>
      </c>
      <c r="CW25" s="1648" t="str">
        <f>IF($B$94&lt;&gt;"","",H25)</f>
        <v/>
      </c>
      <c r="CX25" s="1648"/>
    </row>
    <row r="26" spans="1:102" ht="13.8" x14ac:dyDescent="0.25">
      <c r="A26" s="10"/>
      <c r="B26" s="325" t="str">
        <f>IF(OR(B8=K3,B8=K4),P6,"")</f>
        <v/>
      </c>
      <c r="C26" s="341"/>
      <c r="D26" s="62" t="str">
        <f>IF(B26="","",IF(C26&gt;1,"días","día"))</f>
        <v/>
      </c>
      <c r="E26" s="35" t="str">
        <f>IF(B26=P6,R6,"")</f>
        <v/>
      </c>
      <c r="F26" s="78" t="str">
        <f>IF(B26="","","€/día")</f>
        <v/>
      </c>
      <c r="G26" s="121" t="str">
        <f>IF(B26="","",C26*E26)</f>
        <v/>
      </c>
      <c r="H26" s="10"/>
      <c r="I26"/>
      <c r="J26" s="67"/>
      <c r="K26" s="67"/>
      <c r="L26" s="67"/>
      <c r="M26" s="67"/>
      <c r="N26" s="67"/>
      <c r="O26" s="67"/>
      <c r="P26" s="15" t="s">
        <v>139</v>
      </c>
      <c r="Q26" s="67"/>
      <c r="R26" s="67"/>
      <c r="S26" s="67"/>
      <c r="T26" s="67"/>
      <c r="U26" s="67"/>
      <c r="V26" s="67" t="s">
        <v>828</v>
      </c>
      <c r="W26" s="67" t="str">
        <f>IF(D33="ELIJA EL PAÍS          ▼","",D33)</f>
        <v/>
      </c>
      <c r="X26" s="176" t="str">
        <f>IF(C30="","",C30)</f>
        <v/>
      </c>
      <c r="Y26" s="176" t="str">
        <f>IF(C32="","",C32)</f>
        <v/>
      </c>
      <c r="AE26" s="67"/>
      <c r="AF26" s="67"/>
      <c r="AQ26" s="15" t="str">
        <f>W46</f>
        <v/>
      </c>
      <c r="AR26" s="169">
        <f>X55</f>
        <v>0</v>
      </c>
      <c r="CQ26" s="198" t="str">
        <f t="shared" si="5"/>
        <v/>
      </c>
      <c r="CR26" s="334" t="str">
        <f t="shared" si="6"/>
        <v/>
      </c>
      <c r="CS26" s="62" t="str">
        <f t="shared" si="7"/>
        <v/>
      </c>
      <c r="CT26" s="35" t="str">
        <f t="shared" si="8"/>
        <v/>
      </c>
      <c r="CU26" s="78" t="str">
        <f t="shared" si="9"/>
        <v/>
      </c>
      <c r="CV26" s="60" t="str">
        <f t="shared" si="10"/>
        <v/>
      </c>
      <c r="CW26" s="10"/>
    </row>
    <row r="27" spans="1:102" ht="15.6" x14ac:dyDescent="0.3">
      <c r="B27" s="1704" t="str">
        <f>IF(D90&lt;&gt;"","",IF(E91&lt;&gt;D9,"",IF(B8&lt;&gt;0,"Total de dietas en T. Nacional desglosado en manutención "&amp;TEXT((L27),"#.###,00 €")&amp;" alojamiento "&amp;TEXT(N27,"#.###,00 €"),"")))</f>
        <v/>
      </c>
      <c r="C27" s="1704"/>
      <c r="D27" s="1704"/>
      <c r="E27" s="1704"/>
      <c r="F27" s="1704"/>
      <c r="G27" s="1705" t="str">
        <f>IF(D90&lt;&gt;"","",IF(E91&lt;&gt;D9,"",IF(OR(H21="Falta indicar los días",H24="Falta indicar las noches",H25="Falta indicar las noches"),0,SUM(G20:G26))))</f>
        <v/>
      </c>
      <c r="H27" s="1688"/>
      <c r="I27"/>
      <c r="J27" s="67"/>
      <c r="K27" s="67" t="s">
        <v>634</v>
      </c>
      <c r="L27" s="153">
        <f>SUM(G23:G26)</f>
        <v>0</v>
      </c>
      <c r="M27" s="67" t="s">
        <v>514</v>
      </c>
      <c r="N27" s="153">
        <f>SUM(G20:G22)</f>
        <v>0</v>
      </c>
      <c r="O27" s="67"/>
      <c r="P27" s="67" t="str">
        <f>IF(B8&lt;&gt;0,"Total de dietas en T. Nacional desglosado en manutención "&amp;TEXT((L27),"#.###,00 €")&amp;" alojamiento "&amp;TEXT(N27,"#.###,00 €"),"")</f>
        <v>Total de dietas en T. Nacional desglosado en manutención ,00 € alojamiento ,00 €</v>
      </c>
      <c r="Q27" s="67"/>
      <c r="R27" s="67"/>
      <c r="S27" s="67"/>
      <c r="T27" s="67"/>
      <c r="U27" s="67"/>
      <c r="V27" s="67"/>
      <c r="W27" s="67" t="s">
        <v>514</v>
      </c>
      <c r="X27" s="187">
        <f>SUM(AC28:AC30)</f>
        <v>0</v>
      </c>
      <c r="AB27" s="67" t="s">
        <v>772</v>
      </c>
      <c r="AC27" s="67" t="s">
        <v>773</v>
      </c>
      <c r="AE27" s="67"/>
      <c r="AF27" s="67"/>
      <c r="AQ27" s="15" t="str">
        <f>W66</f>
        <v/>
      </c>
      <c r="AR27" s="169">
        <f>X75</f>
        <v>0</v>
      </c>
      <c r="CQ27" s="1647" t="str">
        <f>IF($B$94&lt;&gt;"","",B27)</f>
        <v/>
      </c>
      <c r="CR27" s="1647"/>
      <c r="CS27" s="1647"/>
      <c r="CT27" s="1647"/>
      <c r="CU27" s="1647"/>
      <c r="CV27" s="1762" t="str">
        <f>IF($B$94&lt;&gt;"","",G27)</f>
        <v/>
      </c>
      <c r="CW27" s="1638"/>
    </row>
    <row r="28" spans="1:102" x14ac:dyDescent="0.25">
      <c r="B28" s="16"/>
      <c r="C28" s="16"/>
      <c r="D28" s="33"/>
      <c r="E28" s="33"/>
      <c r="F28" s="33"/>
      <c r="G28" s="124"/>
      <c r="H28" s="10"/>
      <c r="I28"/>
      <c r="J28" s="67"/>
      <c r="K28" s="153" t="str">
        <f>IF(C28="","",IF(B22=K2,O5*C28,IF(B22=K3,R5*C28,IF(B22=K4,S5*C28,""))))</f>
        <v/>
      </c>
      <c r="L28" s="153" t="str">
        <f>IF(K28="","",G28-K28)</f>
        <v/>
      </c>
      <c r="M28" s="67"/>
      <c r="N28" s="67"/>
      <c r="O28" s="67"/>
      <c r="P28" s="67"/>
      <c r="Q28" s="67"/>
      <c r="R28" s="67"/>
      <c r="S28" s="67"/>
      <c r="T28" s="67"/>
      <c r="U28" s="67"/>
      <c r="V28" s="67" t="s">
        <v>611</v>
      </c>
      <c r="W28" s="165" t="str">
        <f t="shared" ref="W28:Y30" si="11">B34</f>
        <v>Alojamiento (según decreto)</v>
      </c>
      <c r="X28" s="183">
        <f t="shared" si="11"/>
        <v>0</v>
      </c>
      <c r="Y28" s="165" t="str">
        <f t="shared" si="11"/>
        <v>noche</v>
      </c>
      <c r="Z28" s="165" t="s">
        <v>780</v>
      </c>
      <c r="AA28" s="164" t="str">
        <f t="shared" ref="AA28:AC30" si="12">E34</f>
        <v/>
      </c>
      <c r="AB28" s="165" t="str">
        <f t="shared" si="12"/>
        <v>€/noche</v>
      </c>
      <c r="AC28" s="184" t="str">
        <f t="shared" si="12"/>
        <v/>
      </c>
      <c r="AD28" s="1658" t="str">
        <f>IF(AC28&lt;&gt;0,$W$26&amp;"  "&amp;X28&amp;" "&amp;Y28&amp;" "&amp;Z28&amp;" "&amp;AA28&amp;$AB$27&amp;" "&amp;AC28&amp;AC27,"")</f>
        <v xml:space="preserve">  0 noche a €/N €;</v>
      </c>
      <c r="AE28" s="1659"/>
      <c r="AF28" s="1660"/>
      <c r="AG28" s="196" t="s">
        <v>774</v>
      </c>
      <c r="CQ28" s="13"/>
      <c r="CR28" s="13"/>
      <c r="CS28" s="228"/>
      <c r="CT28" s="228"/>
      <c r="CU28" s="228"/>
      <c r="CV28" s="229"/>
      <c r="CW28" s="10"/>
    </row>
    <row r="29" spans="1:102" ht="15.45" customHeight="1" x14ac:dyDescent="0.3">
      <c r="B29" s="52" t="s">
        <v>829</v>
      </c>
      <c r="C29" s="34"/>
      <c r="D29" s="99"/>
      <c r="E29" s="99"/>
      <c r="F29" s="1710" t="str">
        <f>IF(F88&lt;&gt;"","",IF(I29&lt;1,"",IF(I29="","",IF(AND(C33&lt;&gt;"",F88="",I29&gt;0,C30&lt;&gt;C32),"Días intermedios, manutención con pernoctación, según días con derecho a dietas",""))))</f>
        <v/>
      </c>
      <c r="G29" s="1710"/>
      <c r="H29" s="1710"/>
      <c r="I29"/>
      <c r="J29" s="67"/>
      <c r="K29" s="67"/>
      <c r="L29" s="67"/>
      <c r="M29" s="67"/>
      <c r="N29" s="67"/>
      <c r="O29" s="67"/>
      <c r="P29" s="67"/>
      <c r="Q29" s="67"/>
      <c r="R29" s="67"/>
      <c r="S29" s="67"/>
      <c r="T29" s="67"/>
      <c r="U29" s="67"/>
      <c r="V29" s="153" t="e">
        <f>X29*AA28</f>
        <v>#VALUE!</v>
      </c>
      <c r="W29" s="165" t="str">
        <f t="shared" si="11"/>
        <v>Alojamiento (según factura)</v>
      </c>
      <c r="X29" s="183">
        <f t="shared" si="11"/>
        <v>0</v>
      </c>
      <c r="Y29" s="165" t="str">
        <f t="shared" si="11"/>
        <v>noche</v>
      </c>
      <c r="Z29" s="165" t="s">
        <v>780</v>
      </c>
      <c r="AA29" s="164">
        <f t="shared" si="12"/>
        <v>0</v>
      </c>
      <c r="AB29" s="165" t="str">
        <f t="shared" si="12"/>
        <v>€/noche</v>
      </c>
      <c r="AC29" s="184">
        <f t="shared" si="12"/>
        <v>0</v>
      </c>
      <c r="AD29" s="1658" t="str">
        <f>IF(AC29&lt;&gt;0,$W$26&amp;"  "&amp;X29&amp;" "&amp;Y29&amp;" "&amp;Z29&amp;" "&amp;AA29&amp;AB27&amp;" "&amp;AC29&amp;AC27,"")</f>
        <v/>
      </c>
      <c r="AE29" s="1659"/>
      <c r="AF29" s="1659"/>
      <c r="AG29" s="196" t="s">
        <v>781</v>
      </c>
      <c r="AH29" s="239" t="s">
        <v>772</v>
      </c>
      <c r="AI29" s="1615" t="s">
        <v>782</v>
      </c>
      <c r="AJ29" s="1615"/>
      <c r="AK29" s="197" t="s">
        <v>783</v>
      </c>
      <c r="AL29" s="197" t="s">
        <v>783</v>
      </c>
      <c r="AM29" s="197" t="s">
        <v>784</v>
      </c>
      <c r="AN29" s="243">
        <v>0.21</v>
      </c>
      <c r="AO29" s="197" t="s">
        <v>785</v>
      </c>
      <c r="CQ29" s="230" t="str">
        <f>IF($B$94&lt;&gt;"","",B29)</f>
        <v/>
      </c>
      <c r="CR29" s="34"/>
      <c r="CS29" s="99"/>
      <c r="CT29" s="99"/>
      <c r="CU29" s="1763"/>
      <c r="CV29" s="1763"/>
      <c r="CW29" s="1763"/>
    </row>
    <row r="30" spans="1:102" ht="13.8" x14ac:dyDescent="0.25">
      <c r="B30" s="73" t="s">
        <v>830</v>
      </c>
      <c r="C30" s="70"/>
      <c r="D30" s="17" t="s">
        <v>807</v>
      </c>
      <c r="E30" s="72"/>
      <c r="F30" s="145" t="str">
        <f>IF(AND(C30&lt;&gt;"",E30=""),"Falta indicar la hora",IF(AND(C2=M1,C30=C32,C30&lt;&gt;"",E30&gt;P10,E32&lt;=P12),"No corresponde dietas",IF(AND(C2=M1,C30=C32,C30&lt;&gt;"",E30&lt;=P10,E32&gt;P12),"Manutención sin pernoctar",IF(AND(C2=M1,C30=C32,C30&lt;&gt;"",E30&gt;P10,E32&gt;P12),"1/2 Manutención",IF(AND(C2=M1,C30=C32,C30&lt;&gt;"",E30&lt;=P10,E32&lt;=P11),"No corresponde dietas",IF(AND(C2=M1,C30=C32,C30&lt;&gt;"",E30&lt;=P10,E32&gt;P11,E32&lt;=P12),"1/2 Manutención",IF(AND(C2=M1,C30&lt;&gt;C32,C30&lt;&gt;"",E30&lt;=P10),"Para el día de salida: salida , manutención pernoctando",IF(AND(C2=M1,C30&lt;&gt;C32,C30&lt;&gt;"",E30&gt;P12),"Para el día de salida: No corresponde manutención",IF(AND(C2=M1,C30&lt;&gt;C32,C30&lt;&gt;"",E30&gt;P10),"Para el día de salida: salida 1/2 manutención",IF(AND(C2=M2,C30&lt;&gt;"",C30=C32,E30&lt;=M9,E32&gt;M10,N37&gt;=N9),"Sólo le corresponde 1/2 manutención",IF(AND(C2=M2,C30&lt;&gt;"",C30&lt;&gt;C32,E30&lt;=M9),"Para el día de salida: Manute. Completa",IF(AND(C2=M2,C30&lt;&gt;"",C30&lt;&gt;C32,E30&gt;M9,E30&lt;=M11),"Para el día de salida:1/2 manutención",IF(AND(C2=M2,C30&lt;&gt;"",C30&lt;&gt;C32,E30&gt;=M11),"Para el día de salida no corresponde dieta",IF(AND(OR(E30&gt;=M9,E32&lt;=M10,N37&lt;N9),C2=M2,C30&lt;&gt;"",C30=C32),"No le corresponde dietas",""))))))))))))))</f>
        <v/>
      </c>
      <c r="G30" s="129"/>
      <c r="H30" s="129"/>
      <c r="I30" s="20"/>
      <c r="J30" s="67"/>
      <c r="K30" s="67"/>
      <c r="L30" s="67"/>
      <c r="M30" s="67"/>
      <c r="N30" s="67"/>
      <c r="O30" s="67"/>
      <c r="P30" s="67"/>
      <c r="Q30" s="67"/>
      <c r="R30" s="67"/>
      <c r="S30" s="67"/>
      <c r="T30" s="67"/>
      <c r="U30" s="67"/>
      <c r="V30" s="153" t="e">
        <f>X30*AA28</f>
        <v>#VALUE!</v>
      </c>
      <c r="W30" s="165" t="str">
        <f t="shared" si="11"/>
        <v>Alojamiento Pagos a Terceros</v>
      </c>
      <c r="X30" s="183">
        <f t="shared" si="11"/>
        <v>0</v>
      </c>
      <c r="Y30" s="165" t="str">
        <f t="shared" si="11"/>
        <v>noche</v>
      </c>
      <c r="Z30" s="165" t="s">
        <v>780</v>
      </c>
      <c r="AA30" s="164">
        <f t="shared" si="12"/>
        <v>0</v>
      </c>
      <c r="AB30" s="165" t="str">
        <f t="shared" si="12"/>
        <v>€/noche</v>
      </c>
      <c r="AC30" s="184">
        <f t="shared" si="12"/>
        <v>0</v>
      </c>
      <c r="AD30" s="186" t="str">
        <f>IF(AC30&lt;&gt;0,W30&amp;" "&amp;$W$26&amp;" "&amp;AC30&amp;AC27&amp;" "&amp;X30&amp;" "&amp;Y30&amp;" "&amp;Z30&amp;" "&amp;AA30&amp;AB27&amp;" "&amp;AC30&amp;AC27,"")</f>
        <v/>
      </c>
      <c r="AE30" s="185"/>
      <c r="AF30" s="185"/>
      <c r="AG30" s="240" t="e">
        <f>IF(AC29&gt;V29,V29,AC29)</f>
        <v>#VALUE!</v>
      </c>
      <c r="AH30" s="248" t="e">
        <f>IF(AG30=0,"",AG30/X29)</f>
        <v>#VALUE!</v>
      </c>
      <c r="AI30" s="196" t="s">
        <v>787</v>
      </c>
      <c r="AJ30" s="196" t="s">
        <v>772</v>
      </c>
      <c r="AK30" s="244">
        <v>0.1</v>
      </c>
      <c r="AL30" s="245">
        <v>0.1</v>
      </c>
      <c r="AM30" s="167"/>
      <c r="AN30" s="167"/>
      <c r="AO30" s="167"/>
      <c r="CQ30" s="17" t="str">
        <f>IF($B$94&lt;&gt;"","",B30)</f>
        <v/>
      </c>
      <c r="CR30" s="207" t="str">
        <f>IF(C30="","",IF($B$94&lt;&gt;"","",C30))</f>
        <v/>
      </c>
      <c r="CS30" s="17"/>
      <c r="CT30" s="208" t="str">
        <f>IF(E30="","",IF($B$94&lt;&gt;"","",E30))</f>
        <v/>
      </c>
      <c r="CU30" s="25" t="str">
        <f>IF($B$94&lt;&gt;"","",F30)</f>
        <v/>
      </c>
      <c r="CV30" s="25"/>
      <c r="CW30" s="25"/>
      <c r="CX30" s="78"/>
    </row>
    <row r="31" spans="1:102" ht="13.8" x14ac:dyDescent="0.25">
      <c r="B31" s="17"/>
      <c r="C31" s="127"/>
      <c r="D31" s="13"/>
      <c r="E31" s="126"/>
      <c r="F31" s="1662" t="str">
        <f>IF(B8=K1,"",IF(K34&lt;1,"",IF(K34="","",IF(AND(C33&lt;&gt;"",K34&gt;0,C30&lt;&gt;C32),"Días intermedios, manutención completa según días con derecho a dietas",""))))</f>
        <v/>
      </c>
      <c r="G31" s="1662"/>
      <c r="H31" s="1662"/>
      <c r="I31" s="1662"/>
      <c r="J31" s="67"/>
      <c r="K31" s="67"/>
      <c r="L31" s="67"/>
      <c r="M31" s="67"/>
      <c r="N31" s="67"/>
      <c r="O31" s="67"/>
      <c r="P31" s="67"/>
      <c r="Q31" s="67"/>
      <c r="R31" s="67"/>
      <c r="S31" s="67"/>
      <c r="T31" s="67"/>
      <c r="U31" s="67"/>
      <c r="V31" s="67"/>
      <c r="W31" s="1674" t="str">
        <f>IF(AC28&lt;&gt;0,W28 &amp; " " &amp; X28 &amp;" " &amp; Y28&amp;" " &amp; Z28 &amp; " "&amp; AA28  &amp; " "&amp; AB28  &amp; " "&amp; AC28,"")</f>
        <v xml:space="preserve">Alojamiento (según decreto) 0 noche a  €/noche </v>
      </c>
      <c r="X31" s="1674"/>
      <c r="Y31" s="1674"/>
      <c r="Z31" s="1674"/>
      <c r="AA31" s="1674"/>
      <c r="AB31" s="1674"/>
      <c r="AC31" s="1674"/>
      <c r="AD31" s="191">
        <f>SUM(AC28:AC29)</f>
        <v>0</v>
      </c>
      <c r="AE31" s="192" t="s">
        <v>831</v>
      </c>
      <c r="AF31" s="192"/>
      <c r="AG31" s="240" t="e">
        <f>IF(AC30&gt;V30,V30,AC30)</f>
        <v>#VALUE!</v>
      </c>
      <c r="AH31" s="248" t="e">
        <f>IF(AG31=0,"",AG31/X30)</f>
        <v>#VALUE!</v>
      </c>
      <c r="AI31" s="246" t="e">
        <f>AM31*AK30*AN29+AM31</f>
        <v>#VALUE!</v>
      </c>
      <c r="AJ31" s="246" t="e">
        <f>IF(AI31=0,"",AI31/X29)</f>
        <v>#VALUE!</v>
      </c>
      <c r="AK31" s="196"/>
      <c r="AL31" s="167"/>
      <c r="AM31" s="166" t="e">
        <f>AO31/(1+AL30)</f>
        <v>#VALUE!</v>
      </c>
      <c r="AN31" s="167"/>
      <c r="AO31" s="166" t="e">
        <f>AG30</f>
        <v>#VALUE!</v>
      </c>
      <c r="CQ31" s="17"/>
      <c r="CR31" s="127"/>
      <c r="CS31" s="13"/>
      <c r="CT31" s="126"/>
      <c r="CU31" s="1648" t="str">
        <f>IF($B$94&lt;&gt;"","",F31)</f>
        <v/>
      </c>
      <c r="CV31" s="1648"/>
      <c r="CW31" s="1648"/>
      <c r="CX31" s="1648"/>
    </row>
    <row r="32" spans="1:102" ht="13.95" customHeight="1" x14ac:dyDescent="0.25">
      <c r="B32" s="74" t="s">
        <v>832</v>
      </c>
      <c r="C32" s="70"/>
      <c r="D32" s="17" t="s">
        <v>807</v>
      </c>
      <c r="E32" s="72"/>
      <c r="F32" s="1662" t="str">
        <f>IF(AND(C32&lt;&gt;"",E32=""),"Falta indicar la hora",IF(AND(C2=M1,E32&gt;P12,C30&lt;&gt;C32,E32&lt;&gt;""),"Para el día de regreso: manutención sin pernoctar",IF(AND(C2=M1,E32&gt;P11,E32&lt;=P12,C30&lt;&gt;C32),"Para el día de regreso:, 1/2 manutención",IF(AND(C2=M1,E32&lt;=P11,C30&lt;&gt;C32),"Para el días de regreso: No corresponde manutención",IF(AND(C2=M2,C32&lt;&gt;"",C30&lt;&gt;C32,E32&gt;M11),"Para el día de regreso: regreso posterior a las 22:00 H,",IF(AND(C2=M2,C32&lt;&gt;"",C30&lt;&gt;C32,E32&gt;M9),"Para el día de regreso: Regreso posterior a las 14:00 H 1/2 nanut.",IF(AND(C2=M2,C32&lt;&gt;"",C30&lt;&gt;C32,E32&lt;=M9),"Para el día de regreso no corresponde dieta","")))))))</f>
        <v/>
      </c>
      <c r="G32" s="1662"/>
      <c r="H32" s="1662"/>
      <c r="J32" s="67"/>
      <c r="K32" s="67"/>
      <c r="L32" s="67"/>
      <c r="M32" s="67"/>
      <c r="N32" s="67"/>
      <c r="O32" s="67"/>
      <c r="P32" s="67"/>
      <c r="Q32" s="67"/>
      <c r="R32" s="67"/>
      <c r="S32" s="67"/>
      <c r="T32" s="67"/>
      <c r="U32" s="67"/>
      <c r="V32" s="67"/>
      <c r="W32" s="1674" t="str">
        <f>IF(AC29&lt;&gt;0,W29 &amp; " " &amp; X29 &amp;" " &amp; Y29&amp;" " &amp; Z29 &amp; " "&amp; AA29  &amp; " "&amp; AB29  &amp; " "&amp; AC29,"")</f>
        <v/>
      </c>
      <c r="X32" s="1674"/>
      <c r="Y32" s="1674"/>
      <c r="Z32" s="1674"/>
      <c r="AA32" s="1674"/>
      <c r="AB32" s="1674"/>
      <c r="AC32" s="1674"/>
      <c r="AE32" s="67"/>
      <c r="AF32" s="67"/>
      <c r="AG32" s="239"/>
      <c r="AH32" s="239"/>
      <c r="AI32" s="246" t="e">
        <f>AM32*AK30*AN29+AM32</f>
        <v>#VALUE!</v>
      </c>
      <c r="AJ32" s="246" t="e">
        <f>IF(AI32=0,"",AI32/X30)</f>
        <v>#VALUE!</v>
      </c>
      <c r="AK32" s="196"/>
      <c r="AL32" s="167"/>
      <c r="AM32" s="166" t="e">
        <f>AO32/(1+AL30)</f>
        <v>#VALUE!</v>
      </c>
      <c r="AN32" s="167"/>
      <c r="AO32" s="166" t="e">
        <f>AG31</f>
        <v>#VALUE!</v>
      </c>
      <c r="CQ32" s="79" t="str">
        <f>IF($B$94&lt;&gt;"","",B32)</f>
        <v/>
      </c>
      <c r="CR32" s="207" t="str">
        <f>IF(C32="","",IF($B$94&lt;&gt;"","",C32))</f>
        <v/>
      </c>
      <c r="CS32" s="17"/>
      <c r="CT32" s="208" t="str">
        <f>IF(E32="","",IF($B$94&lt;&gt;"","",E32))</f>
        <v/>
      </c>
      <c r="CU32" s="1648" t="str">
        <f>IF($B$94&lt;&gt;"","",F32)</f>
        <v/>
      </c>
      <c r="CV32" s="1648"/>
      <c r="CW32" s="1648"/>
    </row>
    <row r="33" spans="2:102" ht="13.8" x14ac:dyDescent="0.25">
      <c r="B33" s="17" t="s">
        <v>833</v>
      </c>
      <c r="C33" s="76" t="str">
        <f>IF(OR(C30="",C32=""),"",(C32-C30+1))</f>
        <v/>
      </c>
      <c r="D33" s="1689" t="s">
        <v>189</v>
      </c>
      <c r="E33" s="1689"/>
      <c r="F33" s="1690" t="str">
        <f>IF(AND(C2=M2,C32&lt;&gt;"",C30&lt;&gt;C32,E32&gt;M11),"excepcionalmente manut. Completa, previa factura de la cena.","")</f>
        <v/>
      </c>
      <c r="G33" s="1690"/>
      <c r="H33" s="1690"/>
      <c r="I33" s="1690"/>
      <c r="J33" s="67"/>
      <c r="K33" s="67" t="s">
        <v>834</v>
      </c>
      <c r="L33" s="67"/>
      <c r="M33" s="344">
        <f>SUM(G34:G40)</f>
        <v>0</v>
      </c>
      <c r="N33" s="67"/>
      <c r="O33" s="67"/>
      <c r="P33" s="67"/>
      <c r="Q33" s="67"/>
      <c r="R33" s="67"/>
      <c r="S33" s="67"/>
      <c r="T33" s="67"/>
      <c r="U33" s="67"/>
      <c r="V33" s="67"/>
      <c r="W33" s="1674" t="str">
        <f>IF(AC30&lt;&gt;0,W30 &amp; " " &amp; X30 &amp;" " &amp; Y30&amp;" " &amp; Z30 &amp; " "&amp; AA30  &amp; " "&amp; AB30  &amp; " "&amp; AC30,"")</f>
        <v/>
      </c>
      <c r="X33" s="1674"/>
      <c r="Y33" s="1674"/>
      <c r="Z33" s="1674"/>
      <c r="AA33" s="1674"/>
      <c r="AB33" s="1674"/>
      <c r="AC33" s="1674"/>
      <c r="AE33" s="67"/>
      <c r="AF33" s="67"/>
      <c r="AG33" s="239"/>
      <c r="AH33" s="239"/>
      <c r="AI33" s="247" t="e">
        <f>IF(AH30="","",IF(AC29&lt;&gt;0,X29&amp;""&amp;Y29&amp;" "&amp;Z29&amp;" "&amp;AH30&amp;AB6&amp;" "&amp;AI31&amp;AC6,""))</f>
        <v>#VALUE!</v>
      </c>
      <c r="AJ33" s="196"/>
      <c r="AK33" s="196"/>
      <c r="AL33" s="167"/>
      <c r="AM33" s="167"/>
      <c r="AN33" s="167"/>
      <c r="AO33" s="167"/>
      <c r="CQ33" s="17" t="str">
        <f>IF($B$94&lt;&gt;"","",B33)</f>
        <v/>
      </c>
      <c r="CR33" s="76" t="str">
        <f>IF($B$94&lt;&gt;"","",C33)</f>
        <v/>
      </c>
      <c r="CS33" s="1631" t="str">
        <f>IF($B$94&lt;&gt;"","",D33)</f>
        <v/>
      </c>
      <c r="CT33" s="1631"/>
      <c r="CU33" s="1648"/>
      <c r="CV33" s="1648"/>
      <c r="CW33" s="1648"/>
      <c r="CX33" s="1648"/>
    </row>
    <row r="34" spans="2:102" ht="13.95" customHeight="1" x14ac:dyDescent="0.25">
      <c r="B34" s="323" t="s">
        <v>817</v>
      </c>
      <c r="C34" s="342"/>
      <c r="D34" s="62" t="str">
        <f>IF(C45&gt;1,"noches","noche")</f>
        <v>noche</v>
      </c>
      <c r="E34" s="31" t="str">
        <f>IF(C2=M1,VLOOKUP(D33,ANEXO!A2:C100,2,0),IF(C2=M2,VLOOKUP(D33,ANEXO!D2:G100,2,0),""))</f>
        <v/>
      </c>
      <c r="F34" s="78" t="s">
        <v>818</v>
      </c>
      <c r="G34" s="60" t="str">
        <f>IF(E34="","",C34*E34)</f>
        <v/>
      </c>
      <c r="H34" s="13"/>
      <c r="I34"/>
      <c r="J34" s="67"/>
      <c r="K34" s="67" t="str">
        <f>IF(C33="","",C33-2)</f>
        <v/>
      </c>
      <c r="L34" s="67" t="s">
        <v>835</v>
      </c>
      <c r="M34" s="67"/>
      <c r="N34" s="67"/>
      <c r="O34" s="67"/>
      <c r="P34" s="67"/>
      <c r="Q34" s="67"/>
      <c r="R34" s="67"/>
      <c r="S34" s="67"/>
      <c r="T34" s="67"/>
      <c r="U34" s="67"/>
      <c r="V34" s="67"/>
      <c r="W34" s="1674" t="str">
        <f>IF(X27&gt;0,"Total alojamiento en T. Extranjero:" &amp;" "&amp;W26 &amp;" "&amp;TEXT((X27),"#.###,00 €")&amp;" desglosado en:" &amp; W31 &amp;" " &amp;" " &amp; W32 &amp;" " &amp; W32,"")</f>
        <v/>
      </c>
      <c r="X34" s="1674"/>
      <c r="Y34" s="1674"/>
      <c r="Z34" s="1674"/>
      <c r="AA34" s="1674"/>
      <c r="AB34" s="1674"/>
      <c r="AC34" s="1674"/>
      <c r="AD34" s="1674"/>
      <c r="AE34" s="1674"/>
      <c r="AF34" s="67"/>
      <c r="AG34" s="239"/>
      <c r="AH34" s="239"/>
      <c r="AI34" s="247" t="e">
        <f>IF(AH31="","",IF(AC30&lt;&gt;0,X30&amp;""&amp;Y30&amp;" "&amp;Z30&amp;" "&amp;AJ32&amp;AB6&amp;" "&amp;AI32&amp;AC6,""))</f>
        <v>#VALUE!</v>
      </c>
      <c r="AJ34" s="196"/>
      <c r="AK34" s="196"/>
      <c r="AL34" s="167"/>
      <c r="AM34" s="167"/>
      <c r="AN34" s="167"/>
      <c r="AO34" s="167"/>
      <c r="CQ34" s="198" t="str">
        <f>IF($B$94&lt;&gt;"","",B34)</f>
        <v/>
      </c>
      <c r="CR34" s="210" t="str">
        <f>IF(C34="","",IF($B$94&lt;&gt;"","",C34))</f>
        <v/>
      </c>
      <c r="CS34" s="62" t="str">
        <f>IF($B$94&lt;&gt;"","",D34)</f>
        <v/>
      </c>
      <c r="CT34" s="31" t="str">
        <f>IF($B$94&lt;&gt;"","",E34)</f>
        <v/>
      </c>
      <c r="CU34" s="78" t="str">
        <f>IF($B$94&lt;&gt;"","",F34)</f>
        <v/>
      </c>
      <c r="CV34" s="60" t="str">
        <f>IF($B$94&lt;&gt;"","",G34)</f>
        <v/>
      </c>
      <c r="CW34" s="13"/>
    </row>
    <row r="35" spans="2:102" ht="13.8" x14ac:dyDescent="0.25">
      <c r="B35" s="323" t="s">
        <v>819</v>
      </c>
      <c r="C35" s="342"/>
      <c r="D35" s="62" t="str">
        <f>IF(C46&gt;1,"noches","noche")</f>
        <v>noche</v>
      </c>
      <c r="E35" s="35">
        <f>IF(C35="",0,G35/C35)</f>
        <v>0</v>
      </c>
      <c r="F35" s="78" t="s">
        <v>818</v>
      </c>
      <c r="G35" s="100">
        <v>0</v>
      </c>
      <c r="H35" s="1690" t="str">
        <f>IF(AND(C35="",G35&gt;0),"Falta indicar las noches",IF(AND(L36&gt;0,G35&gt;K36),"Supera al Decreto en"&amp;TEXT((L36)," #.###,00 €"),""))</f>
        <v/>
      </c>
      <c r="I35" s="1690"/>
      <c r="J35" s="67"/>
      <c r="K35" s="67" t="s">
        <v>634</v>
      </c>
      <c r="L35" s="153">
        <f>SUM(G37:G40)</f>
        <v>0</v>
      </c>
      <c r="M35" s="67" t="s">
        <v>514</v>
      </c>
      <c r="N35" s="158">
        <f>SUM(G34:G36)</f>
        <v>0</v>
      </c>
      <c r="O35" s="67"/>
      <c r="P35" s="67"/>
      <c r="Q35" s="67"/>
      <c r="R35" s="67"/>
      <c r="S35" s="67"/>
      <c r="T35" s="67"/>
      <c r="U35" s="67"/>
      <c r="V35" s="67"/>
      <c r="W35" s="165" t="s">
        <v>634</v>
      </c>
      <c r="X35" s="193">
        <f>SUM(AC36:AC39)</f>
        <v>0</v>
      </c>
      <c r="Y35" s="165"/>
      <c r="Z35" s="165"/>
      <c r="AA35" s="165" t="s">
        <v>836</v>
      </c>
      <c r="AB35" s="165" t="s">
        <v>810</v>
      </c>
      <c r="AC35" s="189" t="s">
        <v>773</v>
      </c>
      <c r="AE35" s="67"/>
      <c r="AF35" s="67"/>
      <c r="AI35" s="239" t="e">
        <f>W26&amp;" "&amp;AI33</f>
        <v>#VALUE!</v>
      </c>
      <c r="CQ35" s="198" t="str">
        <f t="shared" ref="CQ35:CQ40" si="13">IF($B$94&lt;&gt;"","",B35)</f>
        <v/>
      </c>
      <c r="CR35" s="210" t="str">
        <f t="shared" ref="CR35:CR40" si="14">IF(C35="","",IF($B$94&lt;&gt;"","",C35))</f>
        <v/>
      </c>
      <c r="CS35" s="62" t="str">
        <f t="shared" ref="CS35:CS40" si="15">IF($B$94&lt;&gt;"","",D35)</f>
        <v/>
      </c>
      <c r="CT35" s="31" t="str">
        <f t="shared" ref="CT35:CT40" si="16">IF($B$94&lt;&gt;"","",E35)</f>
        <v/>
      </c>
      <c r="CU35" s="78" t="str">
        <f t="shared" ref="CU35:CU40" si="17">IF($B$94&lt;&gt;"","",F35)</f>
        <v/>
      </c>
      <c r="CV35" s="60" t="str">
        <f t="shared" ref="CV35:CV40" si="18">IF($B$94&lt;&gt;"","",G35)</f>
        <v/>
      </c>
      <c r="CW35" s="1648" t="str">
        <f>IF($B$94&lt;&gt;"","",H35)</f>
        <v/>
      </c>
      <c r="CX35" s="1648"/>
    </row>
    <row r="36" spans="2:102" ht="13.8" x14ac:dyDescent="0.25">
      <c r="B36" s="324" t="s">
        <v>820</v>
      </c>
      <c r="C36" s="340"/>
      <c r="D36" s="62" t="str">
        <f>IF(C47&gt;1,"noches","noche")</f>
        <v>noche</v>
      </c>
      <c r="E36" s="131">
        <f>IF(C36="",0,G36/C36)</f>
        <v>0</v>
      </c>
      <c r="F36" s="78" t="s">
        <v>818</v>
      </c>
      <c r="G36" s="92">
        <v>0</v>
      </c>
      <c r="H36" s="1690" t="str">
        <f>IF(AND(C36="",G36&gt;0),"Falta indicar las noches",IF(AND(L37&gt;0,G36&gt;K37),"Supera al Decreto en"&amp;TEXT((L37)," #.###,00 €"),M22))</f>
        <v>Pagos a Terceros</v>
      </c>
      <c r="I36" s="1690"/>
      <c r="J36" s="67"/>
      <c r="K36" s="153" t="str">
        <f>IF(E34="","",C35*E34)</f>
        <v/>
      </c>
      <c r="L36" s="153" t="str">
        <f>IF(K36="","",G35-K36)</f>
        <v/>
      </c>
      <c r="M36" s="67" t="s">
        <v>514</v>
      </c>
      <c r="N36" s="67" t="s">
        <v>794</v>
      </c>
      <c r="O36" s="67"/>
      <c r="P36" s="67"/>
      <c r="Q36" s="67"/>
      <c r="R36" s="67"/>
      <c r="S36" s="67"/>
      <c r="T36" s="67"/>
      <c r="U36" s="67"/>
      <c r="V36" s="67"/>
      <c r="W36" s="165" t="str">
        <f t="shared" ref="W36:Y39" si="19">B37</f>
        <v>1/2 manutención</v>
      </c>
      <c r="X36" s="183">
        <f t="shared" si="19"/>
        <v>0</v>
      </c>
      <c r="Y36" s="165" t="str">
        <f t="shared" si="19"/>
        <v>día</v>
      </c>
      <c r="Z36" s="165" t="s">
        <v>780</v>
      </c>
      <c r="AA36" s="164" t="str">
        <f t="shared" ref="AA36:AC39" si="20">E37</f>
        <v/>
      </c>
      <c r="AB36" s="165" t="str">
        <f t="shared" si="20"/>
        <v>€/día</v>
      </c>
      <c r="AC36" s="164">
        <f t="shared" si="20"/>
        <v>0</v>
      </c>
      <c r="AD36" s="67" t="str">
        <f>IF(AC36&lt;&gt;0,X36&amp;" "&amp;Y36&amp;" "&amp;$AA$35&amp;" "&amp;Z36&amp;" "&amp;AA36&amp;$AB$35&amp;" "&amp;AC36&amp;$AC$35,"")</f>
        <v/>
      </c>
      <c r="AE36" s="67"/>
      <c r="AF36" s="67"/>
      <c r="AI36" s="251" t="e">
        <f>IF(AI34="","",W26&amp;" "&amp;W30&amp;" "&amp;AI34)</f>
        <v>#VALUE!</v>
      </c>
      <c r="CQ36" s="198" t="str">
        <f t="shared" si="13"/>
        <v/>
      </c>
      <c r="CR36" s="210" t="str">
        <f t="shared" si="14"/>
        <v/>
      </c>
      <c r="CS36" s="62" t="str">
        <f t="shared" si="15"/>
        <v/>
      </c>
      <c r="CT36" s="31" t="str">
        <f t="shared" si="16"/>
        <v/>
      </c>
      <c r="CU36" s="78" t="str">
        <f t="shared" si="17"/>
        <v/>
      </c>
      <c r="CV36" s="60" t="str">
        <f t="shared" si="18"/>
        <v/>
      </c>
      <c r="CW36" s="1648" t="str">
        <f>IF($B$94&lt;&gt;"","",H36)</f>
        <v/>
      </c>
      <c r="CX36" s="1648"/>
    </row>
    <row r="37" spans="2:102" ht="13.8" x14ac:dyDescent="0.25">
      <c r="B37" s="325" t="s">
        <v>456</v>
      </c>
      <c r="C37" s="342"/>
      <c r="D37" s="62" t="str">
        <f>IF(C48&gt;1,"días","día")</f>
        <v>día</v>
      </c>
      <c r="E37" s="35" t="str">
        <f>IF(C2=M1,S9,IF(C2=M2,VLOOKUP(D33,ANEXO!D2:G100,4,0),""))</f>
        <v/>
      </c>
      <c r="F37" s="78" t="s">
        <v>823</v>
      </c>
      <c r="G37" s="61">
        <f>IF(AND(C37&gt;0,B8=K1),0,IF(C37="",0,C37*E37))</f>
        <v>0</v>
      </c>
      <c r="H37" s="1570" t="s">
        <v>824</v>
      </c>
      <c r="I37" s="1570"/>
      <c r="J37" s="67"/>
      <c r="K37" s="153" t="str">
        <f>IF(E34="","",C36*E34)</f>
        <v/>
      </c>
      <c r="L37" s="153" t="str">
        <f>IF(K37="","",G36-K37)</f>
        <v/>
      </c>
      <c r="M37" s="67" t="s">
        <v>514</v>
      </c>
      <c r="N37" s="159">
        <f>E32-E30</f>
        <v>0</v>
      </c>
      <c r="O37" s="67"/>
      <c r="P37" s="67"/>
      <c r="Q37" s="67"/>
      <c r="R37" s="67"/>
      <c r="S37" s="67"/>
      <c r="T37" s="67"/>
      <c r="U37" s="67"/>
      <c r="V37" s="67"/>
      <c r="W37" s="165" t="str">
        <f t="shared" si="19"/>
        <v/>
      </c>
      <c r="X37" s="183">
        <f t="shared" si="19"/>
        <v>0</v>
      </c>
      <c r="Y37" s="165" t="str">
        <f t="shared" si="19"/>
        <v>día</v>
      </c>
      <c r="Z37" s="165" t="s">
        <v>780</v>
      </c>
      <c r="AA37" s="164">
        <f t="shared" si="20"/>
        <v>0</v>
      </c>
      <c r="AB37" s="165" t="str">
        <f t="shared" si="20"/>
        <v>€/día</v>
      </c>
      <c r="AC37" s="164" t="str">
        <f t="shared" si="20"/>
        <v/>
      </c>
      <c r="AD37" s="67" t="str">
        <f>IF(AC37&lt;&gt;0,X37&amp;" "&amp;Y37&amp;"  "&amp;Z37&amp;" "&amp;AA37&amp;$AB$35&amp;" "&amp;AC37&amp;$AC$35,"")</f>
        <v>0 día  a 0€/D €;</v>
      </c>
      <c r="AE37" s="67"/>
      <c r="AF37" s="67"/>
      <c r="CQ37" s="198" t="str">
        <f t="shared" si="13"/>
        <v/>
      </c>
      <c r="CR37" s="210" t="str">
        <f t="shared" si="14"/>
        <v/>
      </c>
      <c r="CS37" s="62" t="str">
        <f t="shared" si="15"/>
        <v/>
      </c>
      <c r="CT37" s="31" t="str">
        <f t="shared" si="16"/>
        <v/>
      </c>
      <c r="CU37" s="78" t="str">
        <f t="shared" si="17"/>
        <v/>
      </c>
      <c r="CV37" s="60" t="str">
        <f t="shared" si="18"/>
        <v/>
      </c>
      <c r="CW37" s="6"/>
    </row>
    <row r="38" spans="2:102" ht="13.8" x14ac:dyDescent="0.25">
      <c r="B38" s="326" t="str">
        <f>IF(B8=K2,M5,IF(B8=K3,P5,IF(B8=K4,P5,"")))</f>
        <v/>
      </c>
      <c r="C38" s="342"/>
      <c r="D38" s="62" t="str">
        <f>IF(C49&gt;1,"días","día")</f>
        <v>día</v>
      </c>
      <c r="E38" s="35">
        <f>IF(B38=M5,VLOOKUP(D33,ANEXO!D2:G100,3,0),VLOOKUP(D33,ANEXO!A2:C100,3,0))</f>
        <v>0</v>
      </c>
      <c r="F38" s="78" t="s">
        <v>823</v>
      </c>
      <c r="G38" s="61" t="str">
        <f>IF(B38="","",C38*E38)</f>
        <v/>
      </c>
      <c r="H38" s="86"/>
      <c r="I38"/>
      <c r="J38" s="67"/>
      <c r="K38" s="67" t="s">
        <v>611</v>
      </c>
      <c r="L38" s="67" t="s">
        <v>613</v>
      </c>
      <c r="M38" s="67"/>
      <c r="N38" s="67"/>
      <c r="O38" s="67"/>
      <c r="P38" s="67"/>
      <c r="Q38" s="67"/>
      <c r="R38" s="67"/>
      <c r="S38" s="67"/>
      <c r="T38" s="67"/>
      <c r="U38" s="67"/>
      <c r="V38" s="67"/>
      <c r="W38" s="165" t="str">
        <f t="shared" si="19"/>
        <v>Manutención (según factura/Ticket)</v>
      </c>
      <c r="X38" s="183">
        <f t="shared" si="19"/>
        <v>0</v>
      </c>
      <c r="Y38" s="165" t="str">
        <f t="shared" si="19"/>
        <v>día</v>
      </c>
      <c r="Z38" s="165" t="s">
        <v>780</v>
      </c>
      <c r="AA38" s="164">
        <f t="shared" si="20"/>
        <v>0</v>
      </c>
      <c r="AB38" s="165" t="str">
        <f t="shared" si="20"/>
        <v>€/día</v>
      </c>
      <c r="AC38" s="164">
        <f t="shared" si="20"/>
        <v>0</v>
      </c>
      <c r="AD38" s="67" t="str">
        <f>IF(AC38&lt;&gt;0,X38&amp;" "&amp;Y38&amp;"  "&amp;Z38&amp;" "&amp;AA38&amp;$AB$35&amp;" "&amp;AC38&amp;$AC$35,"")</f>
        <v/>
      </c>
      <c r="AE38" s="67"/>
      <c r="AF38" s="67"/>
      <c r="CQ38" s="198" t="str">
        <f t="shared" si="13"/>
        <v/>
      </c>
      <c r="CR38" s="210" t="str">
        <f t="shared" si="14"/>
        <v/>
      </c>
      <c r="CS38" s="62" t="str">
        <f t="shared" si="15"/>
        <v/>
      </c>
      <c r="CT38" s="31" t="str">
        <f t="shared" si="16"/>
        <v/>
      </c>
      <c r="CU38" s="78" t="str">
        <f t="shared" si="17"/>
        <v/>
      </c>
      <c r="CV38" s="60" t="str">
        <f t="shared" si="18"/>
        <v/>
      </c>
      <c r="CW38" s="231"/>
    </row>
    <row r="39" spans="2:102" ht="13.8" x14ac:dyDescent="0.25">
      <c r="B39" s="325" t="s">
        <v>827</v>
      </c>
      <c r="C39" s="342"/>
      <c r="D39" s="62" t="str">
        <f>IF(C50&gt;1,"días","día")</f>
        <v>día</v>
      </c>
      <c r="E39" s="35">
        <f>IF(C39="",0,G39/C39)</f>
        <v>0</v>
      </c>
      <c r="F39" s="78" t="s">
        <v>823</v>
      </c>
      <c r="G39" s="59">
        <v>0</v>
      </c>
      <c r="H39" s="1690" t="str">
        <f>IF(AND(C39="",G39&gt;0),"Falta indicar los días",IF(AND(L39&gt;0,G39&gt;K39),"Supera al Decreto en"&amp;TEXT((L39)," #.###,00 €"),""))</f>
        <v/>
      </c>
      <c r="I39" s="1690"/>
      <c r="J39" s="67"/>
      <c r="K39" s="67">
        <f>IF(E38="","",C39*E38)</f>
        <v>0</v>
      </c>
      <c r="L39" s="158">
        <f>IF(K39="","",G39-K39)</f>
        <v>0</v>
      </c>
      <c r="M39" s="67" t="s">
        <v>837</v>
      </c>
      <c r="N39" s="67"/>
      <c r="O39" s="67"/>
      <c r="P39" s="67"/>
      <c r="Q39" s="67"/>
      <c r="R39" s="67"/>
      <c r="S39" s="67"/>
      <c r="T39" s="67"/>
      <c r="U39" s="67"/>
      <c r="V39" s="67"/>
      <c r="W39" s="165" t="str">
        <f t="shared" si="19"/>
        <v/>
      </c>
      <c r="X39" s="183">
        <f t="shared" si="19"/>
        <v>0</v>
      </c>
      <c r="Y39" s="165" t="str">
        <f t="shared" si="19"/>
        <v/>
      </c>
      <c r="Z39" s="165" t="s">
        <v>780</v>
      </c>
      <c r="AA39" s="164" t="str">
        <f t="shared" si="20"/>
        <v/>
      </c>
      <c r="AB39" s="165" t="str">
        <f t="shared" si="20"/>
        <v/>
      </c>
      <c r="AC39" s="164" t="str">
        <f t="shared" si="20"/>
        <v/>
      </c>
      <c r="AD39" s="67" t="str">
        <f>IF(AC39&lt;&gt;"",X39&amp;" "&amp;Y39&amp;"  "&amp;Z39&amp;" "&amp;AA39&amp;$AB$35&amp;" "&amp;AC39&amp;$AC$35,"")</f>
        <v/>
      </c>
      <c r="AE39" s="67"/>
      <c r="AF39" s="67"/>
      <c r="CQ39" s="198" t="str">
        <f t="shared" si="13"/>
        <v/>
      </c>
      <c r="CR39" s="210" t="str">
        <f t="shared" si="14"/>
        <v/>
      </c>
      <c r="CS39" s="62" t="str">
        <f t="shared" si="15"/>
        <v/>
      </c>
      <c r="CT39" s="31" t="str">
        <f t="shared" si="16"/>
        <v/>
      </c>
      <c r="CU39" s="78" t="str">
        <f t="shared" si="17"/>
        <v/>
      </c>
      <c r="CV39" s="60" t="str">
        <f t="shared" si="18"/>
        <v/>
      </c>
      <c r="CW39" s="1648" t="str">
        <f>IF($B$94&lt;&gt;"","",H39)</f>
        <v/>
      </c>
      <c r="CX39" s="1648"/>
    </row>
    <row r="40" spans="2:102" ht="13.8" x14ac:dyDescent="0.25">
      <c r="B40" s="325" t="str">
        <f>IF(OR(B8=K3,B8=K4),P6,"")</f>
        <v/>
      </c>
      <c r="C40" s="340"/>
      <c r="D40" s="77" t="str">
        <f>IF(B40="","",IF(C40&gt;1,"días","día"))</f>
        <v/>
      </c>
      <c r="E40" s="28" t="str">
        <f>IF(B40="","",26.67)</f>
        <v/>
      </c>
      <c r="F40" s="335" t="str">
        <f>IF(B40="","","€/día")</f>
        <v/>
      </c>
      <c r="G40" s="31" t="str">
        <f>IF(B40="","",C40*E40)</f>
        <v/>
      </c>
      <c r="H40" s="10"/>
      <c r="I40"/>
      <c r="J40" s="67"/>
      <c r="K40" s="67"/>
      <c r="L40" s="158"/>
      <c r="M40" s="67"/>
      <c r="N40" s="67"/>
      <c r="O40" s="67"/>
      <c r="P40" s="67"/>
      <c r="Q40" s="67"/>
      <c r="R40" s="67"/>
      <c r="S40" s="67"/>
      <c r="T40" s="67"/>
      <c r="U40" s="67"/>
      <c r="V40" s="67"/>
      <c r="W40" s="1353" t="str">
        <f>IF(AC36&lt;&gt;0,W36 &amp; " " &amp; X36 &amp;" " &amp; Y36 &amp;" " &amp; Z36 &amp; " "&amp; AA36  &amp; " "&amp; AB36  &amp; " "&amp; AC36,"")</f>
        <v/>
      </c>
      <c r="X40" s="1353"/>
      <c r="Y40" s="1353"/>
      <c r="Z40" s="1353"/>
      <c r="AA40" s="1353"/>
      <c r="AB40" s="1353"/>
      <c r="AC40" s="1353"/>
      <c r="AD40" s="162" t="str">
        <f>IF(X35&gt;0,"MANUT."&amp;W26&amp;" "&amp;X35&amp;$AC$35&amp;" "&amp;AD36&amp;" "&amp;AD37&amp;" "&amp;AD38&amp;" "&amp;AD39,"")</f>
        <v/>
      </c>
      <c r="AE40" s="162"/>
      <c r="AF40" s="67"/>
      <c r="CQ40" s="198" t="str">
        <f t="shared" si="13"/>
        <v/>
      </c>
      <c r="CR40" s="210" t="str">
        <f t="shared" si="14"/>
        <v/>
      </c>
      <c r="CS40" s="77" t="str">
        <f t="shared" si="15"/>
        <v/>
      </c>
      <c r="CT40" s="24" t="str">
        <f t="shared" si="16"/>
        <v/>
      </c>
      <c r="CU40" s="78" t="str">
        <f t="shared" si="17"/>
        <v/>
      </c>
      <c r="CV40" s="60" t="str">
        <f t="shared" si="18"/>
        <v/>
      </c>
      <c r="CW40" s="10"/>
    </row>
    <row r="41" spans="2:102" ht="13.8" x14ac:dyDescent="0.25">
      <c r="B41" s="111" t="s">
        <v>838</v>
      </c>
      <c r="C41" s="70"/>
      <c r="D41" s="17" t="s">
        <v>807</v>
      </c>
      <c r="E41" s="72"/>
      <c r="F41" s="146" t="str">
        <f>IF(AND(C41&lt;&gt;"",E41=""),"Falta indicar la hora",IF(AND(C2=M1,C41=C43,C41&lt;&gt;"",E41&gt;P10,E43&lt;=P12),"No corresponde dietas",IF(AND(C2=M1,C41=C43,C41&lt;&gt;"",E41&lt;=P10,E43&gt;P12),"Manutención sin pernoctar",IF(AND(C2=M1,C41=C43,C41&lt;&gt;"",E41&gt;P10,E43&gt;P12),"1/2 Manutención",IF(AND(C2=M1,C41=C43,C41&lt;&gt;"",E41&lt;=P10,E43&lt;=P11),"No corresponde dietas",IF(AND(C2=M1,C41=C43,C41&lt;&gt;"",E41&lt;=P10,E43&gt;P11,E43&lt;=P12),"1/2 Manutención",IF(AND(C2=M1,C41&lt;&gt;C43,C41&lt;&gt;"",E41&lt;=P10),"Para el día de salida: salida , manutención pernoctando",IF(AND(C2=M1,C41&lt;&gt;C43,C41&lt;&gt;"",E41&gt;P12),"Para el día de salida: No corresponde manutención",IF(AND(C2=M1,C41&lt;&gt;C43,C41&lt;&gt;"",E41&gt;P10),"Para el día de salida: salida 1/2 manutención",IF(AND(C2=M2,C41&lt;&gt;"",C41=C43,E41&lt;=M9,E43&gt;M10,N37&gt;=N9),"Sólo le corresponde 1/2 manutención",IF(AND(C2=M2,C41&lt;&gt;"",C41&lt;&gt;C43,E41&lt;=M9),"Para el día de salida: Manute. Completa",IF(AND(C2=M2,C41&lt;&gt;"",C41&lt;&gt;C43,E41&gt;M9,E41&lt;=M11),"Para el día de salida:1/2 manutención",IF(AND(C2=M2,C41&lt;&gt;"",C41&lt;&gt;C43,E41&gt;=M11),"Para el día de salida no corresponde dieta",IF(AND(OR(E41&gt;=M9,E43&lt;=M10,N50&lt;N9),C2=M2,C41&lt;&gt;"",C41=C43),"No le corresponde dietas",""))))))))))))))</f>
        <v/>
      </c>
      <c r="G41" s="128"/>
      <c r="H41" s="128"/>
      <c r="I41" s="125"/>
      <c r="J41" s="67"/>
      <c r="K41" s="153"/>
      <c r="L41" s="158"/>
      <c r="M41" s="67"/>
      <c r="N41" s="67"/>
      <c r="O41" s="67"/>
      <c r="P41" s="67"/>
      <c r="Q41" s="67"/>
      <c r="R41" s="67"/>
      <c r="S41" s="67"/>
      <c r="T41" s="67"/>
      <c r="U41" s="67"/>
      <c r="V41" s="67"/>
      <c r="W41" s="1674" t="str">
        <f>IF(AC37&lt;&gt;0,W37 &amp; " " &amp; X37 &amp;" " &amp; Y37 &amp;" " &amp; Z37 &amp; " "&amp; AA37  &amp; " "&amp; AB37  &amp; " "&amp; AC37,"")</f>
        <v xml:space="preserve"> 0 día a 0 €/día </v>
      </c>
      <c r="X41" s="1674"/>
      <c r="Y41" s="1674"/>
      <c r="Z41" s="1674"/>
      <c r="AA41" s="1674"/>
      <c r="AB41" s="1674"/>
      <c r="AC41" s="1674"/>
      <c r="AD41" s="162"/>
      <c r="AE41" s="162"/>
      <c r="AF41" s="67"/>
      <c r="CQ41" s="112" t="str">
        <f>IF($B$94&lt;&gt;"","",B41)</f>
        <v/>
      </c>
      <c r="CR41" s="207" t="str">
        <f>IF(C41="","",IF($B$94&lt;&gt;"","",C41))</f>
        <v/>
      </c>
      <c r="CS41" s="17"/>
      <c r="CT41" s="208" t="str">
        <f>IF(E41="","",IF($B$94&lt;&gt;"","",E41))</f>
        <v/>
      </c>
      <c r="CU41" s="9" t="str">
        <f>IF($B$94&lt;&gt;"","",F41)</f>
        <v/>
      </c>
      <c r="CV41" s="9"/>
      <c r="CW41" s="9"/>
      <c r="CX41" s="23"/>
    </row>
    <row r="42" spans="2:102" ht="13.8" x14ac:dyDescent="0.25">
      <c r="B42" s="18"/>
      <c r="C42" s="127"/>
      <c r="D42" s="13"/>
      <c r="E42" s="126"/>
      <c r="F42" s="1662" t="str">
        <f>IF(B8=K1,"",IF(K47&lt;1,"",IF(K47="","",IF(AND(C44&lt;&gt;"",K47&gt;0,C41&lt;&gt;C43),"Días intermedios, manutención completa según días con derecho a dietas",""))))</f>
        <v/>
      </c>
      <c r="G42" s="1662"/>
      <c r="H42" s="1662"/>
      <c r="I42" s="1662"/>
      <c r="J42" s="67"/>
      <c r="K42" s="67"/>
      <c r="L42" s="67"/>
      <c r="M42" s="67"/>
      <c r="N42" s="67"/>
      <c r="O42" s="67"/>
      <c r="P42" s="67"/>
      <c r="Q42" s="67"/>
      <c r="R42" s="67"/>
      <c r="S42" s="67"/>
      <c r="T42" s="67"/>
      <c r="U42" s="67"/>
      <c r="V42" s="67"/>
      <c r="W42" s="1674" t="str">
        <f>IF(AC38&lt;&gt;0,W38 &amp; " " &amp; X38 &amp;" " &amp; Y38 &amp;" " &amp; Z38 &amp; " "&amp; AA38  &amp; " "&amp; AB38  &amp; " "&amp; AC38,"")</f>
        <v/>
      </c>
      <c r="X42" s="1674"/>
      <c r="Y42" s="1674"/>
      <c r="Z42" s="1674"/>
      <c r="AA42" s="1674"/>
      <c r="AB42" s="1674"/>
      <c r="AC42" s="1674"/>
      <c r="AD42" s="162"/>
      <c r="AE42" s="162"/>
      <c r="AF42" s="67"/>
      <c r="CQ42" s="18"/>
      <c r="CR42" s="127"/>
      <c r="CS42" s="13"/>
      <c r="CT42" s="126"/>
      <c r="CU42" s="1648" t="str">
        <f>IF($B$94&lt;&gt;"","",F42)</f>
        <v/>
      </c>
      <c r="CV42" s="1648"/>
      <c r="CW42" s="1648"/>
      <c r="CX42" s="1648"/>
    </row>
    <row r="43" spans="2:102" ht="13.8" x14ac:dyDescent="0.25">
      <c r="B43" s="74" t="s">
        <v>839</v>
      </c>
      <c r="C43" s="70"/>
      <c r="D43" s="17" t="s">
        <v>807</v>
      </c>
      <c r="E43" s="72"/>
      <c r="F43" s="145" t="str">
        <f>IF(AND(C43&lt;&gt;"",E43=""),"Falta indicar la hora",IF(AND(C2=M1,E43&gt;P12,C41&lt;&gt;C43,E43&lt;&gt;""),"Para el día de regreso: manutención sin pernoctar",IF(AND(C2=M1,E43&gt;P11,E43&lt;=P12,C41&lt;&gt;C43),"Para el día de regreso:, 1/2 manutención",IF(AND(C2=M1,E43&lt;=P11,C41&lt;&gt;C43),"Para el días de regreso: No corresponde manutención",IF(AND(C2=M2,C43&lt;&gt;"",C41&lt;&gt;C43,E43&gt;M11),"Para el día de regreso: regreso posterior a las 22:00 H,",IF(AND(C2=M2,C43&lt;&gt;"",C41&lt;&gt;C43,E43&gt;M9),"Para el día de regreso: Regreso posterior a las 14:00 H 1/2 nanut.",IF(AND(C2=M2,C43&lt;&gt;"",C41&lt;&gt;C43,E43&lt;=M9),"Para el día de regreso no corresponde dieta","")))))))</f>
        <v/>
      </c>
      <c r="G43" s="129"/>
      <c r="H43" s="129"/>
      <c r="I43" s="133"/>
      <c r="J43" s="67"/>
      <c r="K43" s="67"/>
      <c r="L43" s="67"/>
      <c r="M43" s="67"/>
      <c r="N43" s="67"/>
      <c r="O43" s="67"/>
      <c r="P43" s="67"/>
      <c r="Q43" s="67"/>
      <c r="R43" s="67"/>
      <c r="S43" s="67"/>
      <c r="T43" s="67"/>
      <c r="U43" s="67"/>
      <c r="V43" s="67"/>
      <c r="W43" s="1674" t="str">
        <f>IF(OR(AC39="",AC39=0),"",W39&amp;" "&amp;X39&amp;" "&amp;Y39&amp;" "&amp;Z39&amp;" "&amp;AA39&amp;" "&amp;AB39&amp;" "&amp;AC39)</f>
        <v/>
      </c>
      <c r="X43" s="1674"/>
      <c r="Y43" s="1674"/>
      <c r="Z43" s="1674"/>
      <c r="AA43" s="1674"/>
      <c r="AB43" s="1674"/>
      <c r="AC43" s="1674"/>
      <c r="AD43" s="1674"/>
      <c r="AE43" s="1674"/>
      <c r="AF43" s="67"/>
      <c r="CQ43" s="79" t="str">
        <f>IF($B$94&lt;&gt;"","",B43)</f>
        <v/>
      </c>
      <c r="CR43" s="207" t="str">
        <f>IF(C43="","",IF($B$94&lt;&gt;"","",C43))</f>
        <v/>
      </c>
      <c r="CS43" s="17"/>
      <c r="CT43" s="208" t="str">
        <f>IF(E43="","",IF($B$94&lt;&gt;"","",E43))</f>
        <v/>
      </c>
      <c r="CU43" s="25" t="str">
        <f>IF($B$94&lt;&gt;"","",F43)</f>
        <v/>
      </c>
      <c r="CV43" s="25"/>
      <c r="CW43" s="25"/>
      <c r="CX43" s="198"/>
    </row>
    <row r="44" spans="2:102" ht="13.8" x14ac:dyDescent="0.25">
      <c r="B44" s="17" t="s">
        <v>833</v>
      </c>
      <c r="C44" s="36" t="str">
        <f>IF(OR(C41="",C43=""),"",(C43-C41+1))</f>
        <v/>
      </c>
      <c r="D44" s="1689" t="s">
        <v>189</v>
      </c>
      <c r="E44" s="1689"/>
      <c r="F44" s="1662" t="str">
        <f>IF(AND(C2=M2,C43&lt;&gt;"",C41&lt;&gt;C43,E43&gt;M11),"excepcionalmente manut. Completa, previa factura de la cena.","")</f>
        <v/>
      </c>
      <c r="G44" s="1662"/>
      <c r="H44" s="1662"/>
      <c r="I44" s="1662"/>
      <c r="J44" s="67"/>
      <c r="K44" s="153"/>
      <c r="L44" s="153"/>
      <c r="M44" s="67"/>
      <c r="N44" s="67"/>
      <c r="O44" s="67"/>
      <c r="P44" s="67"/>
      <c r="Q44" s="67"/>
      <c r="R44" s="67"/>
      <c r="S44" s="67"/>
      <c r="T44" s="67"/>
      <c r="U44" s="153"/>
      <c r="V44" s="153"/>
      <c r="W44" s="67" t="str">
        <f>IF(X35&gt;0,"Total manutención en T. Extranjero:"&amp;" "&amp;W26&amp;" "&amp;TEXT((X35),"#.###,00 €")&amp;" desglosado en:"&amp;W40&amp;" "&amp;" "&amp;W41&amp;" "&amp;W42&amp;" "&amp;W43,"")</f>
        <v/>
      </c>
      <c r="AE44" s="67"/>
      <c r="AF44" s="67"/>
      <c r="CQ44" s="17" t="str">
        <f>IF($B$94&lt;&gt;"","",B44)</f>
        <v/>
      </c>
      <c r="CR44" s="36" t="str">
        <f>IF($B$94&lt;&gt;"","",C44)</f>
        <v/>
      </c>
      <c r="CS44" s="1631" t="str">
        <f>IF($B$94&lt;&gt;"","",D44)</f>
        <v/>
      </c>
      <c r="CT44" s="1631"/>
      <c r="CU44" s="1648"/>
      <c r="CV44" s="1648"/>
      <c r="CW44" s="1648"/>
      <c r="CX44" s="1648"/>
    </row>
    <row r="45" spans="2:102" ht="13.8" x14ac:dyDescent="0.25">
      <c r="B45" s="323" t="s">
        <v>817</v>
      </c>
      <c r="C45" s="342"/>
      <c r="D45" s="62" t="str">
        <f>IF(C45&gt;1,"noches","noche")</f>
        <v>noche</v>
      </c>
      <c r="E45" s="31" t="str">
        <f>IF(C2=M1,VLOOKUP(D44,ANEXO!A2:C100,2,0),IF(C2=M2,VLOOKUP(D44,ANEXO!D2:G100,2,0),""))</f>
        <v/>
      </c>
      <c r="F45" s="78" t="s">
        <v>818</v>
      </c>
      <c r="G45" s="60" t="str">
        <f>IF(E45="","",C45*E45)</f>
        <v/>
      </c>
      <c r="H45" s="13"/>
      <c r="I45"/>
      <c r="J45" s="67"/>
      <c r="K45" s="67"/>
      <c r="L45" s="67"/>
      <c r="M45" s="67"/>
      <c r="N45" s="67"/>
      <c r="O45" s="67"/>
      <c r="P45" s="67"/>
      <c r="Q45" s="67"/>
      <c r="R45" s="67"/>
      <c r="S45" s="67"/>
      <c r="T45" s="67"/>
      <c r="U45" s="67"/>
      <c r="V45" s="67"/>
      <c r="W45" s="67"/>
      <c r="X45" s="152" t="s">
        <v>767</v>
      </c>
      <c r="Y45" s="152" t="s">
        <v>768</v>
      </c>
      <c r="AE45" s="67"/>
      <c r="AF45" s="67"/>
      <c r="CQ45" s="198" t="str">
        <f>IF($B$94&lt;&gt;"","",B45)</f>
        <v/>
      </c>
      <c r="CR45" s="210" t="str">
        <f>IF(C45="","",IF($B$94&lt;&gt;"","",C45))</f>
        <v/>
      </c>
      <c r="CS45" s="62" t="str">
        <f>IF($B$94&lt;&gt;"","",D45)</f>
        <v/>
      </c>
      <c r="CT45" s="31" t="str">
        <f>IF($B$94&lt;&gt;"","",E45)</f>
        <v/>
      </c>
      <c r="CU45" s="78" t="str">
        <f>IF($B$94&lt;&gt;"","",F45)</f>
        <v/>
      </c>
      <c r="CV45" s="60" t="str">
        <f>IF($B$94&lt;&gt;"","",G45)</f>
        <v/>
      </c>
      <c r="CW45" s="13"/>
    </row>
    <row r="46" spans="2:102" ht="13.8" x14ac:dyDescent="0.25">
      <c r="B46" s="323" t="s">
        <v>819</v>
      </c>
      <c r="C46" s="342"/>
      <c r="D46" s="62" t="str">
        <f>IF(C46&gt;1,"noches","noche")</f>
        <v>noche</v>
      </c>
      <c r="E46" s="35">
        <f>IF(C46="",0,G46/C46)</f>
        <v>0</v>
      </c>
      <c r="F46" s="78" t="s">
        <v>818</v>
      </c>
      <c r="G46" s="100">
        <v>0</v>
      </c>
      <c r="H46" s="1690" t="str">
        <f>IF(AND(C46="",G46&gt;0),"Falta indicar las noches",IF(AND(L49&gt;0,G46&gt;K49),"Supera al Decreto en"&amp;TEXT((L49)," #.###,00 €"),""))</f>
        <v/>
      </c>
      <c r="I46" s="1690"/>
      <c r="J46" s="67"/>
      <c r="K46" s="67" t="s">
        <v>840</v>
      </c>
      <c r="L46" s="67"/>
      <c r="M46" s="344">
        <f>SUM(G45:G51)</f>
        <v>0</v>
      </c>
      <c r="N46" s="67"/>
      <c r="O46" s="67"/>
      <c r="P46" s="67"/>
      <c r="Q46" s="67"/>
      <c r="R46" s="67"/>
      <c r="S46" s="67"/>
      <c r="T46" s="67"/>
      <c r="U46" s="67"/>
      <c r="V46" s="67" t="s">
        <v>841</v>
      </c>
      <c r="W46" s="67" t="str">
        <f>IF(D44="ELIJA EL PAÍS          ▼","",D44)</f>
        <v/>
      </c>
      <c r="X46" s="176" t="str">
        <f>IF(C41="","",C41)</f>
        <v/>
      </c>
      <c r="Y46" s="176" t="str">
        <f>IF(C43="","",C43)</f>
        <v/>
      </c>
      <c r="Z46" s="158">
        <f>X47+X55</f>
        <v>0</v>
      </c>
      <c r="AB46" s="67" t="s">
        <v>772</v>
      </c>
      <c r="AC46" s="67" t="s">
        <v>773</v>
      </c>
      <c r="AE46" s="67"/>
      <c r="AF46" s="67"/>
      <c r="AJ46" s="196" t="s">
        <v>774</v>
      </c>
      <c r="CQ46" s="198" t="str">
        <f t="shared" ref="CQ46:CQ51" si="21">IF($B$94&lt;&gt;"","",B46)</f>
        <v/>
      </c>
      <c r="CR46" s="210" t="str">
        <f t="shared" ref="CR46:CR51" si="22">IF(C46="","",IF($B$94&lt;&gt;"","",C46))</f>
        <v/>
      </c>
      <c r="CS46" s="62" t="str">
        <f t="shared" ref="CS46:CS51" si="23">IF($B$94&lt;&gt;"","",D46)</f>
        <v/>
      </c>
      <c r="CT46" s="31" t="str">
        <f t="shared" ref="CT46:CT51" si="24">IF($B$94&lt;&gt;"","",E46)</f>
        <v/>
      </c>
      <c r="CU46" s="78" t="str">
        <f t="shared" ref="CU46:CU51" si="25">IF($B$94&lt;&gt;"","",F46)</f>
        <v/>
      </c>
      <c r="CV46" s="60" t="str">
        <f t="shared" ref="CV46:CV51" si="26">IF($B$94&lt;&gt;"","",G46)</f>
        <v/>
      </c>
      <c r="CW46" s="1648" t="str">
        <f>IF($B$94&lt;&gt;"","",H46)</f>
        <v/>
      </c>
      <c r="CX46" s="1648"/>
    </row>
    <row r="47" spans="2:102" ht="13.8" x14ac:dyDescent="0.25">
      <c r="B47" s="324" t="s">
        <v>820</v>
      </c>
      <c r="C47" s="340"/>
      <c r="D47" s="62" t="str">
        <f>IF(C47&gt;1,"noches","noche")</f>
        <v>noche</v>
      </c>
      <c r="E47" s="131">
        <f>IF(C47="",0,G47/C47)</f>
        <v>0</v>
      </c>
      <c r="F47" s="78" t="s">
        <v>818</v>
      </c>
      <c r="G47" s="92">
        <v>0</v>
      </c>
      <c r="H47" s="1690" t="str">
        <f>IF(AND(C47="",G47&gt;0),"Falta indicar las noches",IF(AND(L50&gt;0,G47&gt;K50),"Supera al Decreto en"&amp;TEXT((L50)," #.###,00 €"),M22))</f>
        <v>Pagos a Terceros</v>
      </c>
      <c r="I47" s="1690"/>
      <c r="J47" s="67"/>
      <c r="K47" s="67" t="str">
        <f>IF(C44="","",C44-2)</f>
        <v/>
      </c>
      <c r="L47" s="67" t="s">
        <v>835</v>
      </c>
      <c r="M47" s="67"/>
      <c r="N47" s="67"/>
      <c r="O47" s="67"/>
      <c r="P47" s="67"/>
      <c r="Q47" s="67"/>
      <c r="R47" s="67"/>
      <c r="S47" s="67"/>
      <c r="T47" s="67"/>
      <c r="U47" s="67"/>
      <c r="V47" s="67"/>
      <c r="W47" s="165" t="s">
        <v>514</v>
      </c>
      <c r="X47" s="188">
        <f>SUM(G45:G47)</f>
        <v>0</v>
      </c>
      <c r="Y47" s="165"/>
      <c r="Z47" s="165"/>
      <c r="AA47" s="165"/>
      <c r="AB47" s="165"/>
      <c r="AC47" s="165"/>
      <c r="AD47" s="173"/>
      <c r="AE47" s="173"/>
      <c r="AF47" s="173"/>
      <c r="AG47" s="171"/>
      <c r="AJ47" s="196" t="s">
        <v>781</v>
      </c>
      <c r="AK47" s="239" t="s">
        <v>772</v>
      </c>
      <c r="AL47" s="1615" t="s">
        <v>782</v>
      </c>
      <c r="AM47" s="1615"/>
      <c r="AN47" s="197" t="s">
        <v>783</v>
      </c>
      <c r="AO47" s="197" t="s">
        <v>783</v>
      </c>
      <c r="AP47" s="197" t="s">
        <v>784</v>
      </c>
      <c r="AQ47" s="243">
        <v>0.21</v>
      </c>
      <c r="AR47" s="197" t="s">
        <v>785</v>
      </c>
      <c r="CQ47" s="198" t="str">
        <f t="shared" si="21"/>
        <v/>
      </c>
      <c r="CR47" s="210" t="str">
        <f t="shared" si="22"/>
        <v/>
      </c>
      <c r="CS47" s="62" t="str">
        <f t="shared" si="23"/>
        <v/>
      </c>
      <c r="CT47" s="31" t="str">
        <f t="shared" si="24"/>
        <v/>
      </c>
      <c r="CU47" s="78" t="str">
        <f t="shared" si="25"/>
        <v/>
      </c>
      <c r="CV47" s="60" t="str">
        <f t="shared" si="26"/>
        <v/>
      </c>
      <c r="CW47" s="1648" t="str">
        <f>IF($B$94&lt;&gt;"","",H47)</f>
        <v/>
      </c>
      <c r="CX47" s="1648"/>
    </row>
    <row r="48" spans="2:102" ht="13.8" x14ac:dyDescent="0.25">
      <c r="B48" s="325" t="s">
        <v>456</v>
      </c>
      <c r="C48" s="342"/>
      <c r="D48" s="62" t="str">
        <f>IF(C48&gt;1,"días","día")</f>
        <v>día</v>
      </c>
      <c r="E48" s="35" t="str">
        <f>IF(C2=M1,S9,IF(C2=M2,VLOOKUP(D44,ANEXO!D2:G100,4,0),""))</f>
        <v/>
      </c>
      <c r="F48" s="78" t="s">
        <v>823</v>
      </c>
      <c r="G48" s="61">
        <f>IF(AND(C48&gt;0,B8=K1),0,IF(C48="",0,C48*E48))</f>
        <v>0</v>
      </c>
      <c r="H48" s="1570" t="s">
        <v>842</v>
      </c>
      <c r="I48" s="1570"/>
      <c r="J48" s="67"/>
      <c r="K48" s="67" t="s">
        <v>634</v>
      </c>
      <c r="L48" s="153">
        <f>G48:G51</f>
        <v>0</v>
      </c>
      <c r="M48" s="67" t="s">
        <v>514</v>
      </c>
      <c r="N48" s="158">
        <f>SUM(G45:G47)</f>
        <v>0</v>
      </c>
      <c r="O48" s="67"/>
      <c r="P48" s="67"/>
      <c r="Q48" s="67"/>
      <c r="R48" s="67"/>
      <c r="S48" s="67"/>
      <c r="T48" s="67"/>
      <c r="U48" s="67"/>
      <c r="V48" s="67" t="s">
        <v>611</v>
      </c>
      <c r="W48" s="165" t="str">
        <f t="shared" ref="W48:Y50" si="27">B45</f>
        <v>Alojamiento (según decreto)</v>
      </c>
      <c r="X48" s="183">
        <f t="shared" si="27"/>
        <v>0</v>
      </c>
      <c r="Y48" s="164" t="str">
        <f t="shared" si="27"/>
        <v>noche</v>
      </c>
      <c r="Z48" s="165" t="s">
        <v>780</v>
      </c>
      <c r="AA48" s="164" t="str">
        <f t="shared" ref="AA48:AC50" si="28">E45</f>
        <v/>
      </c>
      <c r="AB48" s="165" t="str">
        <f t="shared" si="28"/>
        <v>€/noche</v>
      </c>
      <c r="AC48" s="184" t="str">
        <f t="shared" si="28"/>
        <v/>
      </c>
      <c r="AD48" s="173" t="str">
        <f>IF(AC48&lt;&gt;0,$W$46&amp;"  "&amp;X48&amp;" "&amp;Y48&amp;" "&amp;Z48&amp;" "&amp;AA48&amp;$AB$46&amp;" "&amp;AC48&amp;AC46,"")</f>
        <v xml:space="preserve">  0 noche a €/N €;</v>
      </c>
      <c r="AE48" s="173"/>
      <c r="AF48" s="173"/>
      <c r="AG48" s="171"/>
      <c r="AJ48" s="240" t="e">
        <f>IF(AC49&gt;V49,V49,AC49)</f>
        <v>#VALUE!</v>
      </c>
      <c r="AK48" s="248" t="e">
        <f>IF(AJ48=0,"",AJ48/X49)</f>
        <v>#VALUE!</v>
      </c>
      <c r="AL48" s="196" t="s">
        <v>787</v>
      </c>
      <c r="AM48" s="196" t="s">
        <v>772</v>
      </c>
      <c r="AN48" s="244">
        <v>0.1</v>
      </c>
      <c r="AO48" s="245">
        <v>0.1</v>
      </c>
      <c r="AP48" s="167"/>
      <c r="AQ48" s="167"/>
      <c r="AR48" s="167"/>
      <c r="CQ48" s="198" t="str">
        <f t="shared" si="21"/>
        <v/>
      </c>
      <c r="CR48" s="210" t="str">
        <f t="shared" si="22"/>
        <v/>
      </c>
      <c r="CS48" s="62" t="str">
        <f t="shared" si="23"/>
        <v/>
      </c>
      <c r="CT48" s="31" t="str">
        <f t="shared" si="24"/>
        <v/>
      </c>
      <c r="CU48" s="78" t="str">
        <f t="shared" si="25"/>
        <v/>
      </c>
      <c r="CV48" s="60" t="str">
        <f t="shared" si="26"/>
        <v/>
      </c>
      <c r="CW48" s="6"/>
    </row>
    <row r="49" spans="1:102" ht="13.8" x14ac:dyDescent="0.25">
      <c r="B49" s="326" t="str">
        <f>IF(B8=K2,M5,IF(B8=K3,P5,IF(B8=K4,P5,"")))</f>
        <v/>
      </c>
      <c r="C49" s="342"/>
      <c r="D49" s="62" t="str">
        <f>IF(C49&gt;1,"días","día")</f>
        <v>día</v>
      </c>
      <c r="E49" s="35">
        <f>IF(B49=M5,VLOOKUP(D44,ANEXO!D2:G100,3,0),VLOOKUP(D44,ANEXO!A2:C100,3,0))</f>
        <v>0</v>
      </c>
      <c r="F49" s="78" t="s">
        <v>823</v>
      </c>
      <c r="G49" s="61" t="str">
        <f>IF(B49="","",C49*E49)</f>
        <v/>
      </c>
      <c r="H49" s="85"/>
      <c r="I49"/>
      <c r="J49" s="67"/>
      <c r="K49" s="153" t="str">
        <f>IF(E45="","",C46*E45)</f>
        <v/>
      </c>
      <c r="L49" s="153" t="str">
        <f>IF(K49="","",G46-K49)</f>
        <v/>
      </c>
      <c r="M49" s="67" t="s">
        <v>514</v>
      </c>
      <c r="N49" s="67" t="s">
        <v>794</v>
      </c>
      <c r="O49" s="67"/>
      <c r="P49" s="67"/>
      <c r="Q49" s="67"/>
      <c r="R49" s="67"/>
      <c r="S49" s="67"/>
      <c r="T49" s="67"/>
      <c r="U49" s="67"/>
      <c r="V49" s="153" t="e">
        <f>X49*AA48</f>
        <v>#VALUE!</v>
      </c>
      <c r="W49" s="165" t="str">
        <f t="shared" si="27"/>
        <v>Alojamiento (según factura)</v>
      </c>
      <c r="X49" s="183">
        <f t="shared" si="27"/>
        <v>0</v>
      </c>
      <c r="Y49" s="164" t="str">
        <f t="shared" si="27"/>
        <v>noche</v>
      </c>
      <c r="Z49" s="165" t="s">
        <v>780</v>
      </c>
      <c r="AA49" s="164">
        <f t="shared" si="28"/>
        <v>0</v>
      </c>
      <c r="AB49" s="165" t="str">
        <f t="shared" si="28"/>
        <v>€/noche</v>
      </c>
      <c r="AC49" s="184">
        <f t="shared" si="28"/>
        <v>0</v>
      </c>
      <c r="AD49" s="173" t="str">
        <f>IF(AC49&lt;&gt;0,$W$46&amp;"  "&amp;X49&amp;" "&amp;Y49&amp;" "&amp;Z49&amp;" "&amp;AA48&amp;$AB$46&amp;" "&amp;AJ48&amp;AC46,"")</f>
        <v/>
      </c>
      <c r="AE49" s="173"/>
      <c r="AF49" s="173"/>
      <c r="AG49" s="171"/>
      <c r="AJ49" s="240" t="e">
        <f>IF(AC50&gt;V50,V50,AC50)</f>
        <v>#VALUE!</v>
      </c>
      <c r="AK49" s="248" t="e">
        <f>IF(AJ49=0,"",AJ49/X50)</f>
        <v>#VALUE!</v>
      </c>
      <c r="AL49" s="246" t="e">
        <f>AP49*AN48*AQ47+AP49</f>
        <v>#VALUE!</v>
      </c>
      <c r="AM49" s="246" t="e">
        <f>IF(AL49=0,"",AL49/X49)</f>
        <v>#VALUE!</v>
      </c>
      <c r="AN49" s="196"/>
      <c r="AO49" s="167"/>
      <c r="AP49" s="166" t="e">
        <f>AR49/(1+AO48)</f>
        <v>#VALUE!</v>
      </c>
      <c r="AQ49" s="167"/>
      <c r="AR49" s="166" t="e">
        <f>AJ48</f>
        <v>#VALUE!</v>
      </c>
      <c r="CQ49" s="198" t="str">
        <f t="shared" si="21"/>
        <v/>
      </c>
      <c r="CR49" s="210" t="str">
        <f t="shared" si="22"/>
        <v/>
      </c>
      <c r="CS49" s="62" t="str">
        <f t="shared" si="23"/>
        <v/>
      </c>
      <c r="CT49" s="31" t="str">
        <f t="shared" si="24"/>
        <v/>
      </c>
      <c r="CU49" s="78" t="str">
        <f t="shared" si="25"/>
        <v/>
      </c>
      <c r="CV49" s="60" t="str">
        <f t="shared" si="26"/>
        <v/>
      </c>
      <c r="CW49" s="6"/>
    </row>
    <row r="50" spans="1:102" ht="13.8" x14ac:dyDescent="0.25">
      <c r="B50" s="325" t="s">
        <v>827</v>
      </c>
      <c r="C50" s="342"/>
      <c r="D50" s="62" t="str">
        <f>IF(C50&gt;1,"días","día")</f>
        <v>día</v>
      </c>
      <c r="E50" s="35">
        <f>IF(C50="",0,G50/C50)</f>
        <v>0</v>
      </c>
      <c r="F50" s="78" t="s">
        <v>823</v>
      </c>
      <c r="G50" s="59">
        <v>0</v>
      </c>
      <c r="H50" s="1690" t="str">
        <f>IF(AND(C50="",G50&gt;0),"Falta indicar los días",IF(AND(L52&gt;0,G50&gt;K52),"Supera al Decreto en"&amp;TEXT((L52)," #.###,00 €"),""))</f>
        <v/>
      </c>
      <c r="I50" s="1690"/>
      <c r="J50" s="67"/>
      <c r="K50" s="153" t="str">
        <f>IF(E45="","",C47*E45)</f>
        <v/>
      </c>
      <c r="L50" s="153" t="str">
        <f>IF(K50="","",G47-K50)</f>
        <v/>
      </c>
      <c r="M50" s="67" t="s">
        <v>514</v>
      </c>
      <c r="N50" s="159">
        <f>E43-E41</f>
        <v>0</v>
      </c>
      <c r="O50" s="67"/>
      <c r="P50" s="67"/>
      <c r="Q50" s="67"/>
      <c r="R50" s="67"/>
      <c r="S50" s="67"/>
      <c r="T50" s="67"/>
      <c r="U50" s="67"/>
      <c r="V50" s="153" t="e">
        <f>X50*AA48</f>
        <v>#VALUE!</v>
      </c>
      <c r="W50" s="165" t="str">
        <f t="shared" si="27"/>
        <v>Alojamiento Pagos a Terceros</v>
      </c>
      <c r="X50" s="183">
        <f t="shared" si="27"/>
        <v>0</v>
      </c>
      <c r="Y50" s="164" t="str">
        <f t="shared" si="27"/>
        <v>noche</v>
      </c>
      <c r="Z50" s="165" t="s">
        <v>780</v>
      </c>
      <c r="AA50" s="164">
        <f t="shared" si="28"/>
        <v>0</v>
      </c>
      <c r="AB50" s="165" t="str">
        <f t="shared" si="28"/>
        <v>€/noche</v>
      </c>
      <c r="AC50" s="184">
        <f t="shared" si="28"/>
        <v>0</v>
      </c>
      <c r="AD50" s="173" t="str">
        <f>IF(AC50&lt;&gt;0,W50&amp;"  "&amp;W46&amp;" "&amp;AC50&amp;$AC$46&amp;" "&amp;X50&amp;" "&amp;Y50&amp;" "&amp;Z50&amp;" "&amp;AA50&amp;$AB$46&amp;" "&amp;AC50&amp;AC46,"")</f>
        <v/>
      </c>
      <c r="AE50" s="173"/>
      <c r="AF50" s="173"/>
      <c r="AG50" s="171"/>
      <c r="AJ50" s="239"/>
      <c r="AK50" s="239"/>
      <c r="AL50" s="246" t="e">
        <f>AP50*AN48*AQ47+AP50</f>
        <v>#VALUE!</v>
      </c>
      <c r="AM50" s="246" t="e">
        <f>IF(AL50=0,"",AL50/X50)</f>
        <v>#VALUE!</v>
      </c>
      <c r="AN50" s="196"/>
      <c r="AO50" s="167"/>
      <c r="AP50" s="166" t="e">
        <f>AR50/(1+AO48)</f>
        <v>#VALUE!</v>
      </c>
      <c r="AQ50" s="167"/>
      <c r="AR50" s="166" t="e">
        <f>AJ49</f>
        <v>#VALUE!</v>
      </c>
      <c r="CQ50" s="198" t="str">
        <f t="shared" si="21"/>
        <v/>
      </c>
      <c r="CR50" s="210" t="str">
        <f t="shared" si="22"/>
        <v/>
      </c>
      <c r="CS50" s="62" t="str">
        <f t="shared" si="23"/>
        <v/>
      </c>
      <c r="CT50" s="31" t="str">
        <f t="shared" si="24"/>
        <v/>
      </c>
      <c r="CU50" s="78" t="str">
        <f t="shared" si="25"/>
        <v/>
      </c>
      <c r="CV50" s="60" t="str">
        <f t="shared" si="26"/>
        <v/>
      </c>
      <c r="CW50" s="1648" t="str">
        <f>IF($B$94&lt;&gt;"","",H50)</f>
        <v/>
      </c>
      <c r="CX50" s="1648"/>
    </row>
    <row r="51" spans="1:102" ht="13.8" x14ac:dyDescent="0.25">
      <c r="B51" s="325" t="str">
        <f>IF(OR(B8=K3,B8=K4),P6,"")</f>
        <v/>
      </c>
      <c r="C51" s="342"/>
      <c r="D51" s="62" t="str">
        <f>IF(B51="","",IF(C51&gt;1,"días","día"))</f>
        <v/>
      </c>
      <c r="E51" s="28" t="str">
        <f>IF(B51="","",26.67)</f>
        <v/>
      </c>
      <c r="F51" s="335" t="str">
        <f>IF(B51="","","€/día")</f>
        <v/>
      </c>
      <c r="G51" s="31" t="str">
        <f>IF(B51="","",C51*E51)</f>
        <v/>
      </c>
      <c r="H51" s="10"/>
      <c r="I51"/>
      <c r="J51" s="67"/>
      <c r="K51" s="67" t="s">
        <v>611</v>
      </c>
      <c r="L51" s="67" t="s">
        <v>613</v>
      </c>
      <c r="M51" s="67"/>
      <c r="N51" s="67"/>
      <c r="O51" s="67"/>
      <c r="P51" s="67"/>
      <c r="Q51" s="67"/>
      <c r="R51" s="67"/>
      <c r="S51" s="67"/>
      <c r="T51" s="67"/>
      <c r="U51" s="67"/>
      <c r="V51" s="67"/>
      <c r="W51" s="1353" t="str">
        <f>IF(AC48&lt;&gt;0,W48 &amp; " " &amp; X48 &amp;" " &amp; Y48 &amp;" " &amp; Z48 &amp; " "&amp; AA48  &amp; " "&amp; AB48  &amp; " "&amp; AC48,"")</f>
        <v xml:space="preserve">Alojamiento (según decreto) 0 noche a  €/noche </v>
      </c>
      <c r="X51" s="1353"/>
      <c r="Y51" s="1353"/>
      <c r="Z51" s="1353"/>
      <c r="AA51" s="1353"/>
      <c r="AB51" s="1353"/>
      <c r="AC51" s="1353"/>
      <c r="AD51" s="191">
        <f>SUM(AC48:AC49)</f>
        <v>0</v>
      </c>
      <c r="AE51" s="192" t="s">
        <v>843</v>
      </c>
      <c r="AF51" s="67"/>
      <c r="AJ51" s="239"/>
      <c r="AK51" s="239"/>
      <c r="AL51" s="247" t="e">
        <f>IF(AK48="","",IF(AC49&lt;&gt;0,X49&amp;""&amp;Y49&amp;" "&amp;Z49&amp;" "&amp;AK48&amp;AB6&amp;" "&amp;AL49&amp;AC6,""))</f>
        <v>#VALUE!</v>
      </c>
      <c r="AM51" s="196"/>
      <c r="AN51" s="196"/>
      <c r="AO51" s="167"/>
      <c r="AP51" s="167"/>
      <c r="AQ51" s="167"/>
      <c r="AR51" s="167"/>
      <c r="CQ51" s="198" t="str">
        <f t="shared" si="21"/>
        <v/>
      </c>
      <c r="CR51" s="210" t="str">
        <f t="shared" si="22"/>
        <v/>
      </c>
      <c r="CS51" s="62" t="str">
        <f t="shared" si="23"/>
        <v/>
      </c>
      <c r="CT51" s="24" t="str">
        <f t="shared" si="24"/>
        <v/>
      </c>
      <c r="CU51" s="78" t="str">
        <f t="shared" si="25"/>
        <v/>
      </c>
      <c r="CV51" s="60" t="str">
        <f t="shared" si="26"/>
        <v/>
      </c>
      <c r="CW51" s="10"/>
    </row>
    <row r="52" spans="1:102" ht="13.8" x14ac:dyDescent="0.25">
      <c r="B52" s="112" t="s">
        <v>844</v>
      </c>
      <c r="C52" s="75"/>
      <c r="D52" s="112" t="s">
        <v>807</v>
      </c>
      <c r="E52" s="72"/>
      <c r="F52" s="1662" t="str">
        <f>IF(AND(C52&lt;&gt;"",E52=""),"Falta indicar la hora",IF(AND(C2=M1,C52=C54,C52&lt;&gt;"",E52&gt;P10,E54&lt;=P12),"No corresponde dietas",IF(AND(C2=M1,C52=C54,C52&lt;&gt;"",E52&lt;=P10,E54&gt;P12),"Manutención sin pernoctar",IF(AND(C2=M1,C52=C54,C52&lt;&gt;"",E52&gt;P10,E54&gt;P12),"1/2 Manutención",IF(AND(C2=M1,52=C54,C52&lt;&gt;"",E52&lt;=P10,E54&lt;=P11),"No corresponde dietas",IF(AND(C2=M1,C52=C54,C52&lt;&gt;"",E52&lt;=P10,E54&gt;P11,E54&lt;=P12),"1/2 Manutención",IF(AND(C2=M1,C52&lt;&gt;C54,C52&lt;&gt;"",E52&lt;=P10),"Para el día de salida: salida , manutención pernoctando",IF(AND(C2=M1,52&lt;&gt;C54,C52&lt;&gt;"",E52&gt;P12),"Para el día de salida: No corresponde manutención",IF(AND(C2=M1,C52&lt;&gt;C54,52&lt;&gt;"",E52&gt;P10),"Para el día de salida: salida 1/2 manutención",IF(AND(C2=M2,C52&lt;&gt;"",C52=C54,E52&lt;=M9,E54&gt;M10,N58&gt;=N9),"Sólo le corresponde 1/2 manutención",IF(AND(C2=M2,52&lt;&gt;"",C52&lt;&gt;C54,E52&lt;=M9),"Para el día de salida: Manute. Completa",IF(AND(C2=M2,C52&lt;&gt;"",C52&lt;&gt;C54,E52&gt;M9,E52&lt;=M11),"Para el día de salida:1/2 manutención",IF(AND(C2=M2,C52&lt;&gt;"",C52&lt;&gt;C54,E52&gt;=M11),"Para el día de salida no corresponde dieta",IF(AND(OR(E52&gt;=M9,E54&lt;=M10,N58&lt;N9),C2=M2,C52&lt;&gt;"",C52=C54),"No le corresponde dietas",""))))))))))))))</f>
        <v/>
      </c>
      <c r="G52" s="1662"/>
      <c r="H52" s="1662"/>
      <c r="I52" s="1662"/>
      <c r="J52" s="67"/>
      <c r="K52" s="153">
        <f>IF(E49="","",C50*E49)</f>
        <v>0</v>
      </c>
      <c r="L52" s="67">
        <f>IF(K52="","",G50-K52)</f>
        <v>0</v>
      </c>
      <c r="M52" s="67" t="s">
        <v>845</v>
      </c>
      <c r="N52" s="67"/>
      <c r="O52" s="67"/>
      <c r="P52" s="67"/>
      <c r="Q52" s="67"/>
      <c r="R52" s="67"/>
      <c r="S52" s="67"/>
      <c r="T52" s="67"/>
      <c r="U52" s="67"/>
      <c r="V52" s="67"/>
      <c r="W52" s="1353" t="str">
        <f>IF(AC49&lt;&gt;0,W49 &amp; " " &amp; X49 &amp;" " &amp; Y49 &amp;" " &amp; Z49 &amp; " "&amp; AA49  &amp; " "&amp; AB49  &amp; " "&amp; AC49,"")</f>
        <v/>
      </c>
      <c r="X52" s="1353"/>
      <c r="Y52" s="1353"/>
      <c r="Z52" s="1353"/>
      <c r="AA52" s="1353"/>
      <c r="AB52" s="1353"/>
      <c r="AC52" s="1353"/>
      <c r="AE52" s="67"/>
      <c r="AF52" s="67"/>
      <c r="AJ52" s="239"/>
      <c r="AK52" s="239"/>
      <c r="AL52" s="247" t="e">
        <f>IF(AK49="","",IF(AC50&lt;&gt;0,X50&amp;""&amp;Y50&amp;" "&amp;Z50&amp;" "&amp;AM50&amp;AB6&amp;" "&amp;AL50&amp;AC6,""))</f>
        <v>#VALUE!</v>
      </c>
      <c r="AM52" s="196"/>
      <c r="AN52" s="196"/>
      <c r="AO52" s="167"/>
      <c r="AP52" s="167"/>
      <c r="AQ52" s="167"/>
      <c r="AR52" s="167"/>
      <c r="CQ52" s="112" t="str">
        <f>IF($B$94&lt;&gt;"","",B52)</f>
        <v/>
      </c>
      <c r="CR52" s="211" t="str">
        <f>IF(C52="","",IF($B$94&lt;&gt;"","",C52))</f>
        <v/>
      </c>
      <c r="CS52" s="112"/>
      <c r="CT52" s="208" t="str">
        <f>IF(E52="","",IF($B$94&lt;&gt;"","",E52))</f>
        <v/>
      </c>
      <c r="CU52" s="1648" t="str">
        <f>IF($B$94&lt;&gt;"","",F52)</f>
        <v/>
      </c>
      <c r="CV52" s="1648"/>
      <c r="CW52" s="1648"/>
      <c r="CX52" s="1648"/>
    </row>
    <row r="53" spans="1:102" ht="13.8" x14ac:dyDescent="0.25">
      <c r="B53" s="18"/>
      <c r="C53" s="127"/>
      <c r="D53" s="13"/>
      <c r="E53" s="126"/>
      <c r="F53" s="1662" t="str">
        <f>IF(B8=K1,"",IF(K54&lt;1,"",IF(K47="","",IF(AND(C55&lt;&gt;"",K54&gt;0,C52&lt;&gt;C54),"Días intermedios, manutención completa según días con derecho a dietas",""))))</f>
        <v/>
      </c>
      <c r="G53" s="1662"/>
      <c r="H53" s="1662"/>
      <c r="I53" s="1662"/>
      <c r="J53" s="67"/>
      <c r="K53" s="67" t="s">
        <v>846</v>
      </c>
      <c r="L53" s="67"/>
      <c r="M53" s="345">
        <f>SUM(G56:G62)</f>
        <v>0</v>
      </c>
      <c r="N53" s="67"/>
      <c r="O53" s="67"/>
      <c r="P53" s="67"/>
      <c r="Q53" s="67"/>
      <c r="R53" s="67"/>
      <c r="S53" s="67"/>
      <c r="T53" s="67"/>
      <c r="U53" s="67"/>
      <c r="V53" s="67"/>
      <c r="W53" s="1353" t="str">
        <f>IF(AC50&gt;0,W50 &amp; " " &amp; X50 &amp;" " &amp; Y50 &amp;" " &amp; Z50 &amp; " "&amp; AA50  &amp; " "&amp; AB50  &amp; " "&amp; AC50,"")</f>
        <v/>
      </c>
      <c r="X53" s="1353"/>
      <c r="Y53" s="1353"/>
      <c r="Z53" s="1353"/>
      <c r="AA53" s="1353"/>
      <c r="AB53" s="1353"/>
      <c r="AC53" s="1353"/>
      <c r="AE53" s="67"/>
      <c r="AF53" s="67"/>
      <c r="AJ53"/>
      <c r="AK53"/>
      <c r="AL53" s="239" t="e">
        <f>W46&amp;" "&amp;AL51</f>
        <v>#VALUE!</v>
      </c>
      <c r="CQ53" s="18"/>
      <c r="CR53" s="127"/>
      <c r="CS53" s="13"/>
      <c r="CT53" s="126"/>
      <c r="CU53" s="1648" t="str">
        <f>IF($B$94&lt;&gt;"","",F53)</f>
        <v/>
      </c>
      <c r="CV53" s="1648"/>
      <c r="CW53" s="1648"/>
      <c r="CX53" s="1648"/>
    </row>
    <row r="54" spans="1:102" ht="13.8" x14ac:dyDescent="0.25">
      <c r="B54" s="73" t="s">
        <v>847</v>
      </c>
      <c r="C54" s="75"/>
      <c r="D54" s="17" t="s">
        <v>807</v>
      </c>
      <c r="E54" s="72"/>
      <c r="F54" s="1662" t="str">
        <f>IF(AND(C54&lt;&gt;"",E54=""),"Falta indicar la hora",IF(AND(C2=M1,E54&gt;P12,C52&lt;&gt;C54,E54&lt;&gt;""),"Para el día de regreso: manutención sin pernoctar",IF(AND(C2=M1,E54&gt;P11,E54&lt;=P12,C52&lt;&gt;C54),"Para el día de regreso:, 1/2 manutención",IF(AND(C2=M1,E54&lt;=P11,C52&lt;&gt;C54),"Para el días de regreso: No corresponde manutención",IF(AND(C2=M2,C54&lt;&gt;"",C52&lt;&gt;C54,E54&gt;M11),"Para el día de regreso: regreso posterior a las 22:00 H,",IF(AND(C2=M2,C54&lt;&gt;"",C52&lt;&gt;C54,E54&gt;M9),"Para el día de regreso: Regreso posterior a las 14:00 H 1/2 nanut.",IF(AND(C2=M2,C54&lt;&gt;"",C52&lt;&gt;C54,E54&lt;=M9),"Para el día de regreso no corresponde dieta","")))))))</f>
        <v/>
      </c>
      <c r="G54" s="1662"/>
      <c r="H54" s="1662"/>
      <c r="I54" s="1662"/>
      <c r="J54" s="67"/>
      <c r="K54" s="67" t="str">
        <f>IF(C55="","",C55-2)</f>
        <v/>
      </c>
      <c r="L54" s="67"/>
      <c r="M54" s="67"/>
      <c r="N54" s="67"/>
      <c r="O54" s="67"/>
      <c r="P54" s="67"/>
      <c r="Q54" s="67"/>
      <c r="R54" s="67"/>
      <c r="S54" s="67"/>
      <c r="T54" s="67"/>
      <c r="U54" s="67"/>
      <c r="V54" s="67"/>
      <c r="W54" s="1674" t="str">
        <f>IF(X47&gt;0,"Total alojamiento en T. Extranjero:"&amp;" "&amp;W46&amp;" "&amp;TEXT((X47),"#.###,00 €")&amp;" desglosado en:" &amp; W511 &amp;" " &amp;" " &amp;W52 &amp;" " &amp; W53,"")</f>
        <v/>
      </c>
      <c r="X54" s="1674"/>
      <c r="Y54" s="1674"/>
      <c r="Z54" s="1674"/>
      <c r="AA54" s="1674"/>
      <c r="AB54" s="1674"/>
      <c r="AC54" s="1674"/>
      <c r="AD54" s="1674"/>
      <c r="AE54" s="1674"/>
      <c r="AF54" s="67"/>
      <c r="AJ54"/>
      <c r="AK54"/>
      <c r="AL54" s="239" t="e">
        <f>IF(AL52="","",W46&amp;" "&amp;W50&amp;" "&amp;AL52)</f>
        <v>#VALUE!</v>
      </c>
      <c r="CQ54" s="17" t="str">
        <f>IF($B$94&lt;&gt;"","",B54)</f>
        <v/>
      </c>
      <c r="CR54" s="211" t="str">
        <f>IF(C54="","",IF($B$94&lt;&gt;"","",C54))</f>
        <v/>
      </c>
      <c r="CS54" s="17"/>
      <c r="CT54" s="208" t="str">
        <f>IF(E54="","",IF($B$94&lt;&gt;"","",E54))</f>
        <v/>
      </c>
      <c r="CU54" s="1648" t="str">
        <f>IF($B$94&lt;&gt;"","",F54)</f>
        <v/>
      </c>
      <c r="CV54" s="1648"/>
      <c r="CW54" s="1648"/>
      <c r="CX54" s="1648"/>
    </row>
    <row r="55" spans="1:102" ht="13.8" x14ac:dyDescent="0.25">
      <c r="B55" s="17" t="s">
        <v>833</v>
      </c>
      <c r="C55" s="36" t="str">
        <f>IF(OR(C52="",C54=""),"",(C54-C52)+1)</f>
        <v/>
      </c>
      <c r="D55" s="1689" t="s">
        <v>189</v>
      </c>
      <c r="E55" s="1689"/>
      <c r="F55" s="1662" t="str">
        <f>IF(AND(C2=M2,C54&lt;&gt;"",C52&lt;&gt;C54,E54&gt;M11),"excepcionalmente manut. Completa, previa factura de la cena.","")</f>
        <v/>
      </c>
      <c r="G55" s="1662"/>
      <c r="H55" s="1662"/>
      <c r="I55" s="1662"/>
      <c r="J55" s="67"/>
      <c r="K55" s="67" t="s">
        <v>848</v>
      </c>
      <c r="L55" s="158">
        <f>SUM(G59:G62)</f>
        <v>0</v>
      </c>
      <c r="M55" s="67" t="s">
        <v>566</v>
      </c>
      <c r="N55" s="158">
        <f>SUM(G56:G58)</f>
        <v>0</v>
      </c>
      <c r="O55" s="67"/>
      <c r="P55" s="67"/>
      <c r="Q55" s="67"/>
      <c r="R55" s="67"/>
      <c r="S55" s="67"/>
      <c r="T55" s="67"/>
      <c r="U55" s="67"/>
      <c r="V55" s="67"/>
      <c r="W55" s="67" t="s">
        <v>634</v>
      </c>
      <c r="X55" s="280">
        <f>SUM(G48:G51)</f>
        <v>0</v>
      </c>
      <c r="AA55" s="67" t="s">
        <v>811</v>
      </c>
      <c r="AB55" s="67" t="s">
        <v>810</v>
      </c>
      <c r="AC55" s="67" t="s">
        <v>773</v>
      </c>
      <c r="AE55" s="67"/>
      <c r="AF55" s="67"/>
      <c r="AJ55"/>
      <c r="AK55"/>
      <c r="CQ55" s="17" t="str">
        <f>IF($B$94&lt;&gt;"","",B55)</f>
        <v/>
      </c>
      <c r="CR55" s="36" t="str">
        <f>IF($B$94&lt;&gt;"","",C55)</f>
        <v/>
      </c>
      <c r="CS55" s="1631" t="str">
        <f>IF($B$94&lt;&gt;"","",D55)</f>
        <v/>
      </c>
      <c r="CT55" s="1631"/>
      <c r="CU55" s="1648"/>
      <c r="CV55" s="1648"/>
      <c r="CW55" s="1648"/>
      <c r="CX55" s="1648"/>
    </row>
    <row r="56" spans="1:102" ht="13.8" x14ac:dyDescent="0.25">
      <c r="B56" s="323" t="s">
        <v>817</v>
      </c>
      <c r="C56" s="341"/>
      <c r="D56" s="62" t="str">
        <f>IF(C56&gt;1,"noches","noche")</f>
        <v>noche</v>
      </c>
      <c r="E56" s="31" t="str">
        <f>IF(C2=M1,VLOOKUP(D55,ANEXO!A2:C100,2,0),IF(C2=M2,VLOOKUP(D55,ANEXO!D2:G100,2,0),""))</f>
        <v/>
      </c>
      <c r="F56" s="78" t="s">
        <v>818</v>
      </c>
      <c r="G56" s="60" t="str">
        <f>IF(E56="","",C56*E56)</f>
        <v/>
      </c>
      <c r="H56" s="13"/>
      <c r="I56"/>
      <c r="J56" s="67"/>
      <c r="K56" s="67"/>
      <c r="L56" s="67"/>
      <c r="M56" s="67"/>
      <c r="N56" s="67"/>
      <c r="O56" s="67"/>
      <c r="P56" s="67"/>
      <c r="Q56" s="67"/>
      <c r="R56" s="67"/>
      <c r="S56" s="67"/>
      <c r="T56" s="67"/>
      <c r="U56" s="67"/>
      <c r="V56" s="67"/>
      <c r="W56" s="165" t="str">
        <f t="shared" ref="W56:Y59" si="29">B48</f>
        <v>1/2 manutención</v>
      </c>
      <c r="X56" s="183">
        <f t="shared" si="29"/>
        <v>0</v>
      </c>
      <c r="Y56" s="165" t="str">
        <f t="shared" si="29"/>
        <v>día</v>
      </c>
      <c r="Z56" s="165" t="s">
        <v>780</v>
      </c>
      <c r="AA56" s="164" t="str">
        <f t="shared" ref="AA56:AC59" si="30">E48</f>
        <v/>
      </c>
      <c r="AB56" s="165" t="str">
        <f t="shared" si="30"/>
        <v>€/día</v>
      </c>
      <c r="AC56" s="164">
        <f t="shared" si="30"/>
        <v>0</v>
      </c>
      <c r="AD56" s="67" t="str">
        <f>IF(AC56&lt;&gt;0,X56&amp;" "&amp;Y56&amp;AA55&amp;" "&amp;Z56&amp;" "&amp;AA56&amp;$AB$35&amp;" "&amp;AC56&amp;$AC$35,"")</f>
        <v/>
      </c>
      <c r="AE56" s="67"/>
      <c r="AF56" s="67"/>
      <c r="AJ56"/>
      <c r="AK56"/>
      <c r="AL56"/>
      <c r="AM56"/>
      <c r="AN56"/>
      <c r="AO56"/>
      <c r="AP56"/>
      <c r="AQ56"/>
      <c r="AR56"/>
      <c r="CQ56" s="198" t="str">
        <f>IF($B$94&lt;&gt;"","",B56)</f>
        <v/>
      </c>
      <c r="CR56" s="210" t="str">
        <f>IF(C56="","",IF($B$94&lt;&gt;"","",C56))</f>
        <v/>
      </c>
      <c r="CS56" s="62" t="str">
        <f>IF($B$94&lt;&gt;"","",D56)</f>
        <v/>
      </c>
      <c r="CT56" s="31" t="str">
        <f>IF($B$94&lt;&gt;"","",E56)</f>
        <v/>
      </c>
      <c r="CU56" s="78" t="str">
        <f>IF($B$94&lt;&gt;"","",F56)</f>
        <v/>
      </c>
      <c r="CV56" s="60" t="str">
        <f>IF($B$94&lt;&gt;"","",G56)</f>
        <v/>
      </c>
      <c r="CW56" s="13"/>
    </row>
    <row r="57" spans="1:102" ht="13.8" x14ac:dyDescent="0.25">
      <c r="B57" s="323" t="s">
        <v>819</v>
      </c>
      <c r="C57" s="341"/>
      <c r="D57" s="62" t="str">
        <f>IF(C57&gt;1,"noches","noche")</f>
        <v>noche</v>
      </c>
      <c r="E57" s="35">
        <f>IF(C57="",0,G57/C57)</f>
        <v>0</v>
      </c>
      <c r="F57" s="78" t="s">
        <v>818</v>
      </c>
      <c r="G57" s="100">
        <v>0</v>
      </c>
      <c r="H57" s="1690" t="str">
        <f>IF(AND(C57="",G57&gt;0),"Falta indicar las noches",IF(AND(L58&gt;0,G57&gt;K58),"Supera al Decreto en"&amp;TEXT((L58)," #.###,00 €"),""))</f>
        <v/>
      </c>
      <c r="I57" s="1690"/>
      <c r="J57" s="67"/>
      <c r="K57" s="67" t="s">
        <v>611</v>
      </c>
      <c r="L57" s="67" t="s">
        <v>613</v>
      </c>
      <c r="M57" s="15" t="s">
        <v>849</v>
      </c>
      <c r="N57" s="67" t="s">
        <v>794</v>
      </c>
      <c r="O57" s="67"/>
      <c r="P57" s="67"/>
      <c r="Q57" s="67"/>
      <c r="R57" s="67"/>
      <c r="S57" s="67"/>
      <c r="T57" s="67"/>
      <c r="U57" s="67"/>
      <c r="V57" s="67"/>
      <c r="W57" s="165" t="str">
        <f t="shared" si="29"/>
        <v/>
      </c>
      <c r="X57" s="183">
        <f t="shared" si="29"/>
        <v>0</v>
      </c>
      <c r="Y57" s="165" t="str">
        <f t="shared" si="29"/>
        <v>día</v>
      </c>
      <c r="Z57" s="165" t="s">
        <v>780</v>
      </c>
      <c r="AA57" s="164">
        <f t="shared" si="30"/>
        <v>0</v>
      </c>
      <c r="AB57" s="165" t="str">
        <f t="shared" si="30"/>
        <v>€/día</v>
      </c>
      <c r="AC57" s="164" t="str">
        <f t="shared" si="30"/>
        <v/>
      </c>
      <c r="AD57" s="67" t="str">
        <f>IF(AC57&lt;&gt;0,X57&amp;" "&amp;Y57&amp;" "&amp;Z57&amp;" "&amp;AA57&amp;$AB$35&amp;" "&amp;AC57&amp;$AC$35,"")</f>
        <v>0 día a 0€/D €;</v>
      </c>
      <c r="AE57" s="67"/>
      <c r="AF57" s="67"/>
      <c r="AJ57"/>
      <c r="AK57"/>
      <c r="AL57"/>
      <c r="AM57"/>
      <c r="AN57"/>
      <c r="AO57"/>
      <c r="AP57"/>
      <c r="AQ57"/>
      <c r="AR57"/>
      <c r="CQ57" s="198" t="str">
        <f t="shared" ref="CQ57:CQ62" si="31">IF($B$94&lt;&gt;"","",B57)</f>
        <v/>
      </c>
      <c r="CR57" s="210" t="str">
        <f t="shared" ref="CR57:CR62" si="32">IF(C57="","",IF($B$94&lt;&gt;"","",C57))</f>
        <v/>
      </c>
      <c r="CS57" s="62" t="str">
        <f t="shared" ref="CS57:CS62" si="33">IF($B$94&lt;&gt;"","",D57)</f>
        <v/>
      </c>
      <c r="CT57" s="31" t="str">
        <f t="shared" ref="CT57:CT62" si="34">IF($B$94&lt;&gt;"","",E57)</f>
        <v/>
      </c>
      <c r="CU57" s="78" t="str">
        <f t="shared" ref="CU57:CU62" si="35">IF($B$94&lt;&gt;"","",F57)</f>
        <v/>
      </c>
      <c r="CV57" s="60" t="str">
        <f t="shared" ref="CV57:CV62" si="36">IF($B$94&lt;&gt;"","",G57)</f>
        <v/>
      </c>
      <c r="CW57" s="1648" t="str">
        <f>IF($B$94&lt;&gt;"","",H57)</f>
        <v/>
      </c>
      <c r="CX57" s="1648"/>
    </row>
    <row r="58" spans="1:102" ht="13.8" x14ac:dyDescent="0.25">
      <c r="B58" s="324" t="s">
        <v>820</v>
      </c>
      <c r="C58" s="341"/>
      <c r="D58" s="62" t="str">
        <f>IF(C58&gt;1,"noches","noche")</f>
        <v>noche</v>
      </c>
      <c r="E58" s="130">
        <f>IF(C58="",0,G58/C58)</f>
        <v>0</v>
      </c>
      <c r="F58" s="78" t="s">
        <v>818</v>
      </c>
      <c r="G58" s="92">
        <v>0</v>
      </c>
      <c r="H58" s="1690" t="str">
        <f>IF(AND(C58="",G58&gt;0),"Falta indicar las noches",IF(AND(L59&gt;0,G58&gt;K59),"Supera al Decreto en"&amp;TEXT((L59)," #.###,00 €"),M22))</f>
        <v>Pagos a Terceros</v>
      </c>
      <c r="I58" s="1690"/>
      <c r="J58" s="67"/>
      <c r="K58" s="153" t="str">
        <f>IF(E56="","",C57*E56)</f>
        <v/>
      </c>
      <c r="L58" s="153" t="str">
        <f>IF(K58="","",G57-K58)</f>
        <v/>
      </c>
      <c r="M58" s="15" t="s">
        <v>850</v>
      </c>
      <c r="N58" s="159">
        <f>E54-E52</f>
        <v>0</v>
      </c>
      <c r="O58" s="67"/>
      <c r="P58" s="67"/>
      <c r="Q58" s="67"/>
      <c r="R58" s="67"/>
      <c r="S58" s="67"/>
      <c r="T58" s="67"/>
      <c r="U58" s="67"/>
      <c r="V58" s="67"/>
      <c r="W58" s="165" t="str">
        <f t="shared" si="29"/>
        <v>Manutención (según factura/Ticket)</v>
      </c>
      <c r="X58" s="183">
        <f t="shared" si="29"/>
        <v>0</v>
      </c>
      <c r="Y58" s="165" t="str">
        <f t="shared" si="29"/>
        <v>día</v>
      </c>
      <c r="Z58" s="165" t="s">
        <v>780</v>
      </c>
      <c r="AA58" s="164">
        <f t="shared" si="30"/>
        <v>0</v>
      </c>
      <c r="AB58" s="165" t="str">
        <f t="shared" si="30"/>
        <v>€/día</v>
      </c>
      <c r="AC58" s="164">
        <f t="shared" si="30"/>
        <v>0</v>
      </c>
      <c r="AD58" s="67" t="str">
        <f>IF(AC58&lt;&gt;0,X58&amp;" "&amp;Y58&amp;" "&amp;Z58&amp;" "&amp;AA58&amp;$AB$35&amp;" "&amp;AC58&amp;$AC$35,"")</f>
        <v/>
      </c>
      <c r="AE58" s="67"/>
      <c r="AJ58"/>
      <c r="AK58"/>
      <c r="AL58"/>
      <c r="AM58"/>
      <c r="AN58"/>
      <c r="AO58"/>
      <c r="AP58"/>
      <c r="AQ58"/>
      <c r="AR58"/>
      <c r="CQ58" s="198" t="str">
        <f t="shared" si="31"/>
        <v/>
      </c>
      <c r="CR58" s="210" t="str">
        <f t="shared" si="32"/>
        <v/>
      </c>
      <c r="CS58" s="62" t="str">
        <f t="shared" si="33"/>
        <v/>
      </c>
      <c r="CT58" s="31" t="str">
        <f t="shared" si="34"/>
        <v/>
      </c>
      <c r="CU58" s="78" t="str">
        <f t="shared" si="35"/>
        <v/>
      </c>
      <c r="CV58" s="60" t="str">
        <f t="shared" si="36"/>
        <v/>
      </c>
      <c r="CW58" s="1648" t="str">
        <f>IF($B$94&lt;&gt;"","",H58)</f>
        <v/>
      </c>
      <c r="CX58" s="1648"/>
    </row>
    <row r="59" spans="1:102" ht="13.8" x14ac:dyDescent="0.25">
      <c r="B59" s="325" t="s">
        <v>456</v>
      </c>
      <c r="C59" s="341"/>
      <c r="D59" s="62" t="str">
        <f>IF(C59&gt;1,"días","día")</f>
        <v>día</v>
      </c>
      <c r="E59" s="31" t="str">
        <f>IF(C2=M1,S9,IF(C2=M2,VLOOKUP(D55,ANEXO!D2:G100,4,0),""))</f>
        <v/>
      </c>
      <c r="F59" s="78" t="s">
        <v>823</v>
      </c>
      <c r="G59" s="58">
        <f>IF(AND(C59&gt;0,B8=K1),0,IF(C59="",0,C59*E59))</f>
        <v>0</v>
      </c>
      <c r="H59" s="1571" t="s">
        <v>842</v>
      </c>
      <c r="I59" s="1571"/>
      <c r="J59" s="67"/>
      <c r="K59" s="153" t="str">
        <f>IF(E56="","",C58*E56)</f>
        <v/>
      </c>
      <c r="L59" s="153" t="str">
        <f>IF(K59="","",G58-K59)</f>
        <v/>
      </c>
      <c r="M59" s="15" t="s">
        <v>850</v>
      </c>
      <c r="N59" s="67"/>
      <c r="O59" s="67"/>
      <c r="P59" s="67"/>
      <c r="Q59" s="67"/>
      <c r="R59" s="67"/>
      <c r="S59" s="67"/>
      <c r="T59" s="67"/>
      <c r="U59" s="67"/>
      <c r="V59" s="67"/>
      <c r="W59" s="165" t="str">
        <f t="shared" si="29"/>
        <v/>
      </c>
      <c r="X59" s="183">
        <f t="shared" si="29"/>
        <v>0</v>
      </c>
      <c r="Y59" s="165" t="str">
        <f t="shared" si="29"/>
        <v/>
      </c>
      <c r="Z59" s="165" t="s">
        <v>780</v>
      </c>
      <c r="AA59" s="164" t="str">
        <f t="shared" si="30"/>
        <v/>
      </c>
      <c r="AB59" s="165" t="str">
        <f t="shared" si="30"/>
        <v/>
      </c>
      <c r="AC59" s="164" t="str">
        <f t="shared" si="30"/>
        <v/>
      </c>
      <c r="AD59" s="67" t="str">
        <f>IF(AC59&lt;&gt;"",X59&amp;" "&amp;Y59&amp;" "&amp;Z59&amp;" "&amp;AA59&amp;$AB$35&amp;" "&amp;AC59&amp;$AC$35,"")</f>
        <v/>
      </c>
      <c r="AE59" s="67"/>
      <c r="AJ59" s="239"/>
      <c r="AK59" s="239"/>
      <c r="AL59"/>
      <c r="AM59"/>
      <c r="AN59"/>
      <c r="AO59"/>
      <c r="AP59"/>
      <c r="AQ59"/>
      <c r="AR59"/>
      <c r="CQ59" s="198" t="str">
        <f t="shared" si="31"/>
        <v/>
      </c>
      <c r="CR59" s="210" t="str">
        <f t="shared" si="32"/>
        <v/>
      </c>
      <c r="CS59" s="62" t="str">
        <f t="shared" si="33"/>
        <v/>
      </c>
      <c r="CT59" s="31" t="str">
        <f t="shared" si="34"/>
        <v/>
      </c>
      <c r="CU59" s="78" t="str">
        <f t="shared" si="35"/>
        <v/>
      </c>
      <c r="CV59" s="60" t="str">
        <f t="shared" si="36"/>
        <v/>
      </c>
      <c r="CW59" s="13"/>
    </row>
    <row r="60" spans="1:102" ht="13.8" x14ac:dyDescent="0.25">
      <c r="B60" s="326" t="str">
        <f>IF(B8=K2,M5,IF(B8=K3,P5,IF(B8=K4,P5,"")))</f>
        <v/>
      </c>
      <c r="C60" s="341"/>
      <c r="D60" s="62" t="str">
        <f>IF(C60&gt;1,"días","día")</f>
        <v>día</v>
      </c>
      <c r="E60" s="132">
        <f>IF(B60=M5,VLOOKUP(D55,ANEXO!D2:G100,3,0),VLOOKUP(D55,ANEXO!A2:C100,3,0))</f>
        <v>0</v>
      </c>
      <c r="F60" s="78" t="s">
        <v>823</v>
      </c>
      <c r="G60" s="58" t="str">
        <f>IF(B60="","",C60*E60)</f>
        <v/>
      </c>
      <c r="H60" s="8"/>
      <c r="I60"/>
      <c r="J60" s="67"/>
      <c r="K60" s="153">
        <f>IF(E60="","",C61*E60)</f>
        <v>0</v>
      </c>
      <c r="L60" s="153">
        <f>IF(K60="","",G61-K60)</f>
        <v>0</v>
      </c>
      <c r="M60" s="15" t="s">
        <v>851</v>
      </c>
      <c r="N60" s="67"/>
      <c r="O60" s="67"/>
      <c r="P60" s="67"/>
      <c r="Q60" s="67"/>
      <c r="R60" s="67"/>
      <c r="S60" s="67"/>
      <c r="T60" s="67"/>
      <c r="U60" s="67"/>
      <c r="V60" s="67"/>
      <c r="W60" s="1674" t="str">
        <f>IF(AC56&gt;0,W56 &amp; " " &amp; X56&amp;" " &amp; Y56 &amp;" " &amp; Z56 &amp; " "&amp; AA56  &amp; " "&amp; AB56  &amp; " "&amp; AC56,"")</f>
        <v/>
      </c>
      <c r="X60" s="1674"/>
      <c r="Y60" s="1674"/>
      <c r="Z60" s="1674"/>
      <c r="AA60" s="1674"/>
      <c r="AB60" s="1674"/>
      <c r="AC60" s="1674"/>
      <c r="AD60" s="162" t="str">
        <f>IF(X55&lt;&gt;0,"MANUT."&amp;W46&amp;" "&amp;X55&amp;AC55&amp;" "&amp;AD56&amp;" "&amp;AD57&amp;" "&amp;AD58&amp;" "&amp;AD59,"")</f>
        <v/>
      </c>
      <c r="AE60" s="162"/>
      <c r="AJ60" s="239"/>
      <c r="AK60" s="239"/>
      <c r="AL60"/>
      <c r="AM60"/>
      <c r="AN60"/>
      <c r="AO60"/>
      <c r="AP60"/>
      <c r="AQ60"/>
      <c r="AR60"/>
      <c r="CQ60" s="198" t="str">
        <f t="shared" si="31"/>
        <v/>
      </c>
      <c r="CR60" s="210" t="str">
        <f t="shared" si="32"/>
        <v/>
      </c>
      <c r="CS60" s="62" t="str">
        <f t="shared" si="33"/>
        <v/>
      </c>
      <c r="CT60" s="31" t="str">
        <f t="shared" si="34"/>
        <v/>
      </c>
      <c r="CU60" s="78" t="str">
        <f t="shared" si="35"/>
        <v/>
      </c>
      <c r="CV60" s="60" t="str">
        <f t="shared" si="36"/>
        <v/>
      </c>
      <c r="CW60" s="8"/>
    </row>
    <row r="61" spans="1:102" ht="13.8" x14ac:dyDescent="0.25">
      <c r="B61" s="325" t="s">
        <v>827</v>
      </c>
      <c r="C61" s="341"/>
      <c r="D61" s="62" t="str">
        <f>IF(C61&gt;1,"días","día")</f>
        <v>día</v>
      </c>
      <c r="E61" s="35">
        <f>IF(C61="",0,G61/C61)</f>
        <v>0</v>
      </c>
      <c r="F61" s="78" t="s">
        <v>823</v>
      </c>
      <c r="G61" s="59">
        <v>0</v>
      </c>
      <c r="H61" s="1690" t="str">
        <f>IF(AND(C61="",G61&gt;0),"Falta indicar los días",IF(AND(L52&gt;0,G61&gt;K52),"Supera al Decreto en"&amp;TEXT((L52)," #.###,00 €"),""))</f>
        <v/>
      </c>
      <c r="I61" s="1690"/>
      <c r="J61" s="67"/>
      <c r="K61" s="67"/>
      <c r="L61" s="67"/>
      <c r="M61" s="67"/>
      <c r="N61" s="67"/>
      <c r="O61" s="67"/>
      <c r="P61" s="67"/>
      <c r="Q61" s="67"/>
      <c r="R61" s="67"/>
      <c r="S61" s="67"/>
      <c r="T61" s="67"/>
      <c r="U61" s="67"/>
      <c r="V61" s="67"/>
      <c r="W61" s="1674" t="str">
        <f>IF(AC57&gt;0,W57 &amp; " " &amp; X57&amp;" " &amp; Y57 &amp;" " &amp; Z57 &amp; " "&amp; AA57  &amp; " "&amp; AB57  &amp; " "&amp; AC57,"")</f>
        <v xml:space="preserve"> 0 día a 0 €/día </v>
      </c>
      <c r="X61" s="1674"/>
      <c r="Y61" s="1674"/>
      <c r="Z61" s="1674"/>
      <c r="AA61" s="1674"/>
      <c r="AB61" s="1674"/>
      <c r="AC61" s="1674"/>
      <c r="AD61" s="162"/>
      <c r="AE61" s="162"/>
      <c r="AJ61" s="239"/>
      <c r="AK61" s="239"/>
      <c r="AL61"/>
      <c r="AM61"/>
      <c r="AN61"/>
      <c r="AO61"/>
      <c r="AP61"/>
      <c r="AQ61"/>
      <c r="AR61"/>
      <c r="CQ61" s="198" t="str">
        <f t="shared" si="31"/>
        <v/>
      </c>
      <c r="CR61" s="210" t="str">
        <f t="shared" si="32"/>
        <v/>
      </c>
      <c r="CS61" s="62" t="str">
        <f t="shared" si="33"/>
        <v/>
      </c>
      <c r="CT61" s="31" t="str">
        <f t="shared" si="34"/>
        <v/>
      </c>
      <c r="CU61" s="78" t="str">
        <f t="shared" si="35"/>
        <v/>
      </c>
      <c r="CV61" s="60" t="str">
        <f t="shared" si="36"/>
        <v/>
      </c>
      <c r="CW61" s="1648" t="str">
        <f>IF($B$94&lt;&gt;"","",H61)</f>
        <v/>
      </c>
      <c r="CX61" s="1648"/>
    </row>
    <row r="62" spans="1:102" ht="13.8" x14ac:dyDescent="0.25">
      <c r="A62" s="10"/>
      <c r="B62" s="327" t="str">
        <f>IF(OR(B8=K3,B8=K4),P6,"")</f>
        <v/>
      </c>
      <c r="C62" s="341"/>
      <c r="D62" s="62" t="str">
        <f>IF(B62="","",IF(C62&gt;1,"días","día"))</f>
        <v/>
      </c>
      <c r="E62" s="28" t="str">
        <f>IF(B62="","",26.67)</f>
        <v/>
      </c>
      <c r="F62" s="78" t="str">
        <f>IF(B62="","","€/día")</f>
        <v/>
      </c>
      <c r="G62" s="31" t="str">
        <f>IF(B62="","",C62*E62)</f>
        <v/>
      </c>
      <c r="H62" s="93"/>
      <c r="I62"/>
      <c r="J62" s="67"/>
      <c r="K62" s="67"/>
      <c r="L62" s="67"/>
      <c r="M62" s="67"/>
      <c r="N62" s="67"/>
      <c r="O62" s="67"/>
      <c r="P62" s="67"/>
      <c r="Q62" s="67"/>
      <c r="R62" s="67"/>
      <c r="S62" s="67"/>
      <c r="T62" s="67"/>
      <c r="U62" s="67"/>
      <c r="V62" s="67"/>
      <c r="W62" s="1674" t="str">
        <f>IF(AC58&gt;0,W58 &amp; " " &amp; X58&amp;" " &amp; Y58 &amp;" " &amp; Z58 &amp; " "&amp; AA58  &amp; " "&amp; AB58  &amp; " "&amp; AC58,"")</f>
        <v/>
      </c>
      <c r="X62" s="1674"/>
      <c r="Y62" s="1674"/>
      <c r="Z62" s="1674"/>
      <c r="AA62" s="1674"/>
      <c r="AB62" s="1674"/>
      <c r="AC62" s="1674"/>
      <c r="AD62" s="162"/>
      <c r="AE62" s="162"/>
      <c r="CQ62" s="198" t="str">
        <f t="shared" si="31"/>
        <v/>
      </c>
      <c r="CR62" s="210" t="str">
        <f t="shared" si="32"/>
        <v/>
      </c>
      <c r="CS62" s="62" t="str">
        <f t="shared" si="33"/>
        <v/>
      </c>
      <c r="CT62" s="31" t="str">
        <f t="shared" si="34"/>
        <v/>
      </c>
      <c r="CU62" s="78" t="str">
        <f t="shared" si="35"/>
        <v/>
      </c>
      <c r="CV62" s="60" t="str">
        <f t="shared" si="36"/>
        <v/>
      </c>
      <c r="CW62" s="6"/>
    </row>
    <row r="63" spans="1:102" ht="15.6" x14ac:dyDescent="0.3">
      <c r="A63" s="10"/>
      <c r="B63" s="1684" t="str">
        <f>IF(D90&lt;&gt;"","",IF(E91&lt;&gt;D9,"",IF(B8&lt;&gt;0,"Total de dietas en T. Extranjero desglosado en manutención "&amp;TEXT((L63),"#.###,00 €")&amp;" alojamiento "&amp;TEXT(N63,"#.###,00 €"),"")))</f>
        <v/>
      </c>
      <c r="C63" s="1684"/>
      <c r="D63" s="1684"/>
      <c r="E63" s="1684"/>
      <c r="F63" s="1684"/>
      <c r="G63" s="1688" t="str">
        <f>IF(D90&lt;&gt;"","",IF(E91&lt;&gt;D9,"",IF(OR(H35="Falta indicar los días",H37="Falta indicar las noches",H38="Falta indicar las noches",H46="Falta indicar los días",H48="Falta indicar las noches",H57="Falta indicar los días",H61="Falta indicar las noches"),0,SUM(G34:G62))))</f>
        <v/>
      </c>
      <c r="H63" s="1688"/>
      <c r="I63"/>
      <c r="J63" s="67"/>
      <c r="K63" s="67" t="s">
        <v>852</v>
      </c>
      <c r="L63" s="153">
        <f>L35+L48+L55</f>
        <v>0</v>
      </c>
      <c r="M63" s="67" t="s">
        <v>853</v>
      </c>
      <c r="N63" s="158">
        <f>N35+N48+N55</f>
        <v>0</v>
      </c>
      <c r="O63" s="67"/>
      <c r="P63" s="67" t="str">
        <f>IF(B8&lt;&gt;0,"Total de dietas en T. Extramjero desglosado en manutención "&amp;TEXT((L63),"#.###,00 €")&amp;" alojamiento "&amp;TEXT(N63,"#.###,00 €"),"")</f>
        <v>Total de dietas en T. Extramjero desglosado en manutención ,00 € alojamiento ,00 €</v>
      </c>
      <c r="Q63" s="67"/>
      <c r="R63" s="67"/>
      <c r="S63" s="67"/>
      <c r="T63" s="67"/>
      <c r="U63" s="67"/>
      <c r="V63" s="67"/>
      <c r="W63" s="1674" t="str">
        <f>IF(OR(AC59="",AC59=0),"",W59&amp;" "&amp;X59&amp;" "&amp;Y59&amp;" "&amp;Z59&amp;" "&amp;AA59&amp;" "&amp;AB59&amp;" "&amp;AC59)</f>
        <v/>
      </c>
      <c r="X63" s="1674"/>
      <c r="Y63" s="1674"/>
      <c r="Z63" s="1674"/>
      <c r="AA63" s="1674"/>
      <c r="AB63" s="1674"/>
      <c r="AC63" s="1674"/>
      <c r="AD63" s="1674"/>
      <c r="AE63" s="1674"/>
      <c r="CQ63" s="1637" t="str">
        <f>IF($B$94&lt;&gt;"","",B63)</f>
        <v/>
      </c>
      <c r="CR63" s="1637"/>
      <c r="CS63" s="1637"/>
      <c r="CT63" s="1637"/>
      <c r="CU63" s="1637"/>
      <c r="CV63" s="1638" t="str">
        <f>IF($B$94&lt;&gt;"","",G63)</f>
        <v/>
      </c>
      <c r="CW63" s="1638"/>
    </row>
    <row r="64" spans="1:102" ht="13.8" x14ac:dyDescent="0.25">
      <c r="A64" s="10"/>
      <c r="B64" s="1687" t="str">
        <f>IF(D90&lt;&gt;"","",IF(E91&lt;&gt;D9,"","TOTAL DIETAS (N+E)"))</f>
        <v/>
      </c>
      <c r="C64" s="1687"/>
      <c r="D64" s="1687"/>
      <c r="E64" s="1687"/>
      <c r="F64" s="1687"/>
      <c r="G64" s="1688" t="str">
        <f>IF(D90&lt;&gt;"","",IF(E91&lt;&gt;D9,"",IF(OR(H57="Falta indicar los días;H44=""Faltaindicarlasnoches"),0,G27+G63)))</f>
        <v/>
      </c>
      <c r="H64" s="1688"/>
      <c r="I64"/>
      <c r="J64" s="67"/>
      <c r="K64" s="67"/>
      <c r="L64" s="67" t="s">
        <v>854</v>
      </c>
      <c r="M64" s="67"/>
      <c r="N64" s="67"/>
      <c r="O64" s="67"/>
      <c r="P64" s="67"/>
      <c r="Q64" s="67"/>
      <c r="R64" s="67"/>
      <c r="S64" s="67"/>
      <c r="T64" s="67"/>
      <c r="U64" s="67"/>
      <c r="V64" s="67"/>
      <c r="W64" s="1674" t="str">
        <f>IF(X55&gt;0,"Total manutención en T. Extranjero:"&amp;" "&amp;W46&amp;" "&amp;TEXT((X55),"#.###,00 €")&amp;" desglosado en:"&amp;W60&amp;" "&amp;" "&amp;W61&amp;" "&amp;W62&amp;" "&amp;W63,"")</f>
        <v/>
      </c>
      <c r="X64" s="1674"/>
      <c r="Y64" s="1674"/>
      <c r="Z64" s="1674"/>
      <c r="AA64" s="1674"/>
      <c r="AB64" s="1674"/>
      <c r="AC64" s="1674"/>
      <c r="AD64" s="1674"/>
      <c r="AE64" s="1674"/>
      <c r="AF64" s="1674"/>
      <c r="AG64" s="1674"/>
      <c r="AH64" s="1674"/>
      <c r="AI64" s="1674"/>
      <c r="AJ64" s="1674"/>
      <c r="AK64" s="1674"/>
      <c r="AL64" s="1674"/>
      <c r="AM64" s="1674"/>
      <c r="CQ64" s="1531" t="str">
        <f>IF($B$94&lt;&gt;"","",B64)</f>
        <v/>
      </c>
      <c r="CR64" s="1531"/>
      <c r="CS64" s="1531"/>
      <c r="CT64" s="1531"/>
      <c r="CU64" s="1531"/>
      <c r="CV64" s="1638" t="str">
        <f>IF($B$94&lt;&gt;"","",G64)</f>
        <v/>
      </c>
      <c r="CW64" s="1638"/>
    </row>
    <row r="65" spans="1:101" x14ac:dyDescent="0.25">
      <c r="A65" s="10"/>
      <c r="B65" s="10"/>
      <c r="C65" s="1685" t="s">
        <v>855</v>
      </c>
      <c r="D65" s="10"/>
      <c r="E65" s="10"/>
      <c r="F65" s="10"/>
      <c r="G65" s="37"/>
      <c r="H65" s="10"/>
      <c r="I65"/>
      <c r="J65" s="67"/>
      <c r="K65" s="67"/>
      <c r="L65" s="158">
        <f>H63-H80</f>
        <v>0</v>
      </c>
      <c r="M65" s="158"/>
      <c r="N65" s="153"/>
      <c r="O65" s="158"/>
      <c r="P65" s="67"/>
      <c r="Q65" s="67"/>
      <c r="R65" s="67"/>
      <c r="S65" s="67"/>
      <c r="T65" s="67"/>
      <c r="U65" s="67"/>
      <c r="V65" s="158"/>
      <c r="W65" s="67"/>
      <c r="X65" s="179" t="s">
        <v>767</v>
      </c>
      <c r="Y65" s="152" t="s">
        <v>768</v>
      </c>
      <c r="AE65" s="67"/>
      <c r="CQ65" s="10"/>
      <c r="CR65" s="1639" t="str">
        <f>IF($B$94&lt;&gt;"","",C65)</f>
        <v/>
      </c>
      <c r="CS65" s="10"/>
      <c r="CT65" s="10"/>
      <c r="CU65" s="10"/>
      <c r="CV65" s="37"/>
      <c r="CW65" s="10"/>
    </row>
    <row r="66" spans="1:101" ht="13.8" x14ac:dyDescent="0.25">
      <c r="A66" s="10"/>
      <c r="B66" s="49" t="s">
        <v>856</v>
      </c>
      <c r="C66" s="1686"/>
      <c r="D66" s="10"/>
      <c r="E66" s="1681" t="s">
        <v>857</v>
      </c>
      <c r="F66" s="1681"/>
      <c r="G66" s="212" t="s">
        <v>858</v>
      </c>
      <c r="H66" s="83"/>
      <c r="I66"/>
      <c r="J66" s="67"/>
      <c r="K66" s="67"/>
      <c r="L66" s="158"/>
      <c r="M66" s="158"/>
      <c r="N66" s="67"/>
      <c r="O66" s="67"/>
      <c r="P66" s="67"/>
      <c r="Q66" s="67"/>
      <c r="R66" s="67"/>
      <c r="S66" s="67"/>
      <c r="T66" s="67"/>
      <c r="U66" s="67"/>
      <c r="V66" s="158" t="s">
        <v>859</v>
      </c>
      <c r="W66" s="185" t="str">
        <f>IF(D55="ELIJA EL PAÍS          ▼","",D55)</f>
        <v/>
      </c>
      <c r="X66" s="176" t="str">
        <f>IF(C52="","",C52)</f>
        <v/>
      </c>
      <c r="Y66" s="176" t="str">
        <f>IF(C54="","",C54)</f>
        <v/>
      </c>
      <c r="Z66" s="158">
        <f>X67+X75</f>
        <v>0</v>
      </c>
      <c r="AC66" s="67" t="s">
        <v>773</v>
      </c>
      <c r="AE66" s="67"/>
      <c r="AF66" s="67"/>
      <c r="CQ66" s="9" t="str">
        <f>IF($B$94&lt;&gt;"","",B66)</f>
        <v/>
      </c>
      <c r="CR66" s="1640"/>
      <c r="CS66" s="10"/>
      <c r="CT66" s="10"/>
      <c r="CU66" s="11"/>
      <c r="CV66" s="212" t="str">
        <f t="shared" ref="CV66:CV71" si="37">IF($B$94&lt;&gt;"","",G66)</f>
        <v/>
      </c>
      <c r="CW66" s="199" t="str">
        <f>IF(H66="","",IF($B$94&lt;&gt;"","",H66))</f>
        <v/>
      </c>
    </row>
    <row r="67" spans="1:101" ht="13.8" x14ac:dyDescent="0.25">
      <c r="A67" s="10"/>
      <c r="B67" s="17" t="s">
        <v>860</v>
      </c>
      <c r="C67" s="27"/>
      <c r="D67" s="8">
        <v>0.19</v>
      </c>
      <c r="E67" s="10" t="s">
        <v>861</v>
      </c>
      <c r="F67" s="38"/>
      <c r="G67" s="24">
        <f>C67*D67</f>
        <v>0</v>
      </c>
      <c r="H67" s="10"/>
      <c r="I67"/>
      <c r="J67" s="67"/>
      <c r="L67" s="67"/>
      <c r="M67" s="67"/>
      <c r="N67" s="67"/>
      <c r="O67" s="67"/>
      <c r="P67" s="67"/>
      <c r="Q67" s="67"/>
      <c r="R67" s="67"/>
      <c r="S67" s="67"/>
      <c r="T67" s="67"/>
      <c r="U67" s="67"/>
      <c r="V67" s="67"/>
      <c r="W67" s="165" t="s">
        <v>514</v>
      </c>
      <c r="X67" s="184">
        <f>SUM(G56:G58)</f>
        <v>0</v>
      </c>
      <c r="Y67" s="165"/>
      <c r="Z67" s="165"/>
      <c r="AA67" s="165"/>
      <c r="AB67" s="165" t="s">
        <v>772</v>
      </c>
      <c r="AC67" s="165"/>
      <c r="AD67" s="189"/>
      <c r="AE67" s="189"/>
      <c r="AF67" s="189"/>
      <c r="AJ67" s="196" t="s">
        <v>774</v>
      </c>
      <c r="CQ67" s="17" t="str">
        <f>IF($B$94&lt;&gt;"","",B67)</f>
        <v/>
      </c>
      <c r="CR67" s="200" t="str">
        <f>IF(C67="","",IF($B$94&lt;&gt;"","",C67))</f>
        <v/>
      </c>
      <c r="CS67" s="8" t="str">
        <f>IF($B$94&lt;&gt;"","",E67)</f>
        <v/>
      </c>
      <c r="CT67" s="10"/>
      <c r="CU67" s="213"/>
      <c r="CV67" s="24" t="str">
        <f t="shared" si="37"/>
        <v/>
      </c>
      <c r="CW67" s="10"/>
    </row>
    <row r="68" spans="1:101" ht="13.8" x14ac:dyDescent="0.25">
      <c r="A68" s="10"/>
      <c r="B68" s="25"/>
      <c r="C68" s="50" t="s">
        <v>86</v>
      </c>
      <c r="D68" s="45">
        <v>0</v>
      </c>
      <c r="E68" s="51" t="s">
        <v>86</v>
      </c>
      <c r="F68" s="45">
        <v>0</v>
      </c>
      <c r="G68" s="46">
        <f>SUM(C68:F68)</f>
        <v>0</v>
      </c>
      <c r="H68" s="10"/>
      <c r="I68"/>
      <c r="J68" s="67"/>
      <c r="L68" s="67"/>
      <c r="M68" s="67"/>
      <c r="N68" s="67"/>
      <c r="O68" s="67"/>
      <c r="P68" s="67"/>
      <c r="Q68" s="67"/>
      <c r="R68" s="67"/>
      <c r="S68" s="67"/>
      <c r="T68" s="67"/>
      <c r="U68" s="67"/>
      <c r="V68" s="67" t="s">
        <v>611</v>
      </c>
      <c r="W68" s="165" t="str">
        <f t="shared" ref="W68:Y70" si="38">B56</f>
        <v>Alojamiento (según decreto)</v>
      </c>
      <c r="X68" s="183">
        <f t="shared" si="38"/>
        <v>0</v>
      </c>
      <c r="Y68" s="164" t="str">
        <f t="shared" si="38"/>
        <v>noche</v>
      </c>
      <c r="Z68" s="165" t="s">
        <v>780</v>
      </c>
      <c r="AA68" s="164" t="str">
        <f t="shared" ref="AA68:AC70" si="39">E56</f>
        <v/>
      </c>
      <c r="AB68" s="165" t="str">
        <f t="shared" si="39"/>
        <v>€/noche</v>
      </c>
      <c r="AC68" s="184" t="str">
        <f t="shared" si="39"/>
        <v/>
      </c>
      <c r="AD68" s="189" t="str">
        <f>IF(AC68&lt;&gt;0,$W$66&amp;" " &amp; X68 &amp;" " &amp; Y68 &amp;" " &amp; Z68 &amp; " "&amp; AA68  &amp; " "&amp; $AB$67&amp;" "&amp;AC68&amp;AC66,"")</f>
        <v xml:space="preserve"> 0 noche a  €/N €;</v>
      </c>
      <c r="AE68" s="189"/>
      <c r="AF68" s="189"/>
      <c r="AJ68" s="196" t="s">
        <v>781</v>
      </c>
      <c r="AK68" s="239" t="s">
        <v>772</v>
      </c>
      <c r="AL68" s="1615" t="s">
        <v>782</v>
      </c>
      <c r="AM68" s="1615"/>
      <c r="AN68" s="197" t="s">
        <v>783</v>
      </c>
      <c r="AO68" s="197" t="s">
        <v>783</v>
      </c>
      <c r="AP68" s="197" t="s">
        <v>784</v>
      </c>
      <c r="AQ68" s="243">
        <v>0.21</v>
      </c>
      <c r="AR68" s="197" t="s">
        <v>785</v>
      </c>
      <c r="CQ68" s="25"/>
      <c r="CR68" s="220" t="str">
        <f t="shared" ref="CR68:CU71" si="40">IF($B$94&lt;&gt;"","",C68)</f>
        <v/>
      </c>
      <c r="CS68" s="201" t="str">
        <f t="shared" si="40"/>
        <v/>
      </c>
      <c r="CT68" s="301" t="str">
        <f t="shared" si="40"/>
        <v/>
      </c>
      <c r="CU68" s="201" t="str">
        <f t="shared" si="40"/>
        <v/>
      </c>
      <c r="CV68" s="24" t="str">
        <f t="shared" si="37"/>
        <v/>
      </c>
      <c r="CW68" s="10"/>
    </row>
    <row r="69" spans="1:101" ht="13.8" x14ac:dyDescent="0.25">
      <c r="A69" s="10"/>
      <c r="B69" s="87" t="s">
        <v>862</v>
      </c>
      <c r="C69" s="134" t="s">
        <v>86</v>
      </c>
      <c r="D69" s="88">
        <v>0</v>
      </c>
      <c r="E69" s="89" t="s">
        <v>86</v>
      </c>
      <c r="F69" s="88">
        <v>0</v>
      </c>
      <c r="G69" s="90">
        <f>SUM(C69:F69)</f>
        <v>0</v>
      </c>
      <c r="H69" s="91" t="s">
        <v>821</v>
      </c>
      <c r="I69"/>
      <c r="J69" s="67"/>
      <c r="L69" s="67"/>
      <c r="M69" s="67"/>
      <c r="N69" s="67"/>
      <c r="O69" s="67"/>
      <c r="P69" s="67"/>
      <c r="Q69" s="67"/>
      <c r="R69" s="67"/>
      <c r="S69" s="67"/>
      <c r="T69" s="67"/>
      <c r="U69" s="67"/>
      <c r="V69" s="153" t="e">
        <f>X69*AA68</f>
        <v>#VALUE!</v>
      </c>
      <c r="W69" s="165" t="str">
        <f t="shared" si="38"/>
        <v>Alojamiento (según factura)</v>
      </c>
      <c r="X69" s="183">
        <f t="shared" si="38"/>
        <v>0</v>
      </c>
      <c r="Y69" s="164" t="str">
        <f t="shared" si="38"/>
        <v>noche</v>
      </c>
      <c r="Z69" s="165" t="s">
        <v>780</v>
      </c>
      <c r="AA69" s="164">
        <f t="shared" si="39"/>
        <v>0</v>
      </c>
      <c r="AB69" s="165" t="str">
        <f t="shared" si="39"/>
        <v>€/noche</v>
      </c>
      <c r="AC69" s="184">
        <f t="shared" si="39"/>
        <v>0</v>
      </c>
      <c r="AD69" s="189" t="str">
        <f>IF(AC69&lt;&gt;0,$W$66&amp;" "&amp; X69 &amp;" " &amp; Y69 &amp;" " &amp; Z69 &amp; " "&amp; AA69  &amp; " "&amp; $AB$67&amp;" "&amp;AJ69&amp;AC66,"")</f>
        <v/>
      </c>
      <c r="AE69" s="189"/>
      <c r="AF69" s="189"/>
      <c r="AJ69" s="240" t="e">
        <f>IF(AC69&gt;V69,V69,AC69)</f>
        <v>#VALUE!</v>
      </c>
      <c r="AK69" s="248" t="e">
        <f>IF(AJ69=0,"",AJ69/X69)</f>
        <v>#VALUE!</v>
      </c>
      <c r="AL69" s="196" t="s">
        <v>863</v>
      </c>
      <c r="AM69" s="196" t="s">
        <v>772</v>
      </c>
      <c r="AN69" s="244">
        <v>0.1</v>
      </c>
      <c r="AO69" s="245">
        <v>0.1</v>
      </c>
      <c r="AP69" s="167"/>
      <c r="AQ69" s="167"/>
      <c r="AR69" s="167"/>
      <c r="CQ69" s="17" t="str">
        <f>IF($B$94&lt;&gt;"","",B69)</f>
        <v/>
      </c>
      <c r="CR69" s="220" t="str">
        <f t="shared" si="40"/>
        <v/>
      </c>
      <c r="CS69" s="201" t="str">
        <f t="shared" si="40"/>
        <v/>
      </c>
      <c r="CT69" s="301" t="str">
        <f t="shared" si="40"/>
        <v/>
      </c>
      <c r="CU69" s="201" t="str">
        <f t="shared" si="40"/>
        <v/>
      </c>
      <c r="CV69" s="24" t="str">
        <f t="shared" si="37"/>
        <v/>
      </c>
      <c r="CW69" s="9" t="str">
        <f>IF($B$94&lt;&gt;"","",H69)</f>
        <v/>
      </c>
    </row>
    <row r="70" spans="1:101" ht="13.8" x14ac:dyDescent="0.25">
      <c r="A70" s="10"/>
      <c r="B70" s="25"/>
      <c r="C70" s="50" t="s">
        <v>86</v>
      </c>
      <c r="D70" s="45">
        <v>0</v>
      </c>
      <c r="E70" s="51" t="s">
        <v>86</v>
      </c>
      <c r="F70" s="45">
        <v>0</v>
      </c>
      <c r="G70" s="47">
        <f>SUM(D70+F70)</f>
        <v>0</v>
      </c>
      <c r="H70" s="1572" t="s">
        <v>842</v>
      </c>
      <c r="I70" s="1570"/>
      <c r="J70" s="67"/>
      <c r="L70" s="67"/>
      <c r="M70" s="67"/>
      <c r="N70" s="67"/>
      <c r="O70" s="67"/>
      <c r="P70" s="67"/>
      <c r="Q70" s="67"/>
      <c r="R70" s="67"/>
      <c r="S70" s="67"/>
      <c r="T70" s="67"/>
      <c r="U70" s="67"/>
      <c r="V70" s="153" t="e">
        <f>X70*AA68</f>
        <v>#VALUE!</v>
      </c>
      <c r="W70" s="165" t="str">
        <f t="shared" si="38"/>
        <v>Alojamiento Pagos a Terceros</v>
      </c>
      <c r="X70" s="183">
        <f t="shared" si="38"/>
        <v>0</v>
      </c>
      <c r="Y70" s="164" t="str">
        <f t="shared" si="38"/>
        <v>noche</v>
      </c>
      <c r="Z70" s="165" t="s">
        <v>780</v>
      </c>
      <c r="AA70" s="164">
        <f t="shared" si="39"/>
        <v>0</v>
      </c>
      <c r="AB70" s="165" t="str">
        <f t="shared" si="39"/>
        <v>€/noche</v>
      </c>
      <c r="AC70" s="184">
        <f t="shared" si="39"/>
        <v>0</v>
      </c>
      <c r="AD70" s="189" t="str">
        <f>IF(AC70&lt;&gt;0,W70&amp;"  "&amp;W66&amp;" "&amp;AC70&amp;$AC$66 &amp;" " &amp; X70 &amp;" " &amp; Y70 &amp;" " &amp; Z70 &amp; " "&amp; AA70  &amp; " "&amp; $AB$67&amp;" "&amp;AC70&amp;AC66,"")</f>
        <v/>
      </c>
      <c r="AE70" s="189"/>
      <c r="AF70" s="189"/>
      <c r="AJ70" s="240" t="e">
        <f>IF(AC70&gt;V70,V70,AC70)</f>
        <v>#VALUE!</v>
      </c>
      <c r="AK70" s="248" t="e">
        <f>IF(AJ70=0,"",AJ70/X70)</f>
        <v>#VALUE!</v>
      </c>
      <c r="AL70" s="246" t="e">
        <f>AP70*AN69*AQ68+AP70</f>
        <v>#VALUE!</v>
      </c>
      <c r="AM70" s="246" t="e">
        <f>IF(AL70=0,"",AL70/X69)</f>
        <v>#VALUE!</v>
      </c>
      <c r="AN70" s="196"/>
      <c r="AO70" s="167"/>
      <c r="AP70" s="166" t="e">
        <f>AR70/(1+AO69)</f>
        <v>#VALUE!</v>
      </c>
      <c r="AQ70" s="167"/>
      <c r="AR70" s="166" t="e">
        <f>AJ69</f>
        <v>#VALUE!</v>
      </c>
      <c r="CQ70" s="25"/>
      <c r="CR70" s="220" t="str">
        <f t="shared" si="40"/>
        <v/>
      </c>
      <c r="CS70" s="201" t="str">
        <f t="shared" si="40"/>
        <v/>
      </c>
      <c r="CT70" s="301" t="str">
        <f t="shared" si="40"/>
        <v/>
      </c>
      <c r="CU70" s="201" t="str">
        <f t="shared" si="40"/>
        <v/>
      </c>
      <c r="CV70" s="24" t="str">
        <f t="shared" si="37"/>
        <v/>
      </c>
      <c r="CW70" s="10"/>
    </row>
    <row r="71" spans="1:101" ht="13.8" x14ac:dyDescent="0.25">
      <c r="A71" s="10"/>
      <c r="B71" s="9"/>
      <c r="C71" s="50" t="s">
        <v>86</v>
      </c>
      <c r="D71" s="45">
        <v>0</v>
      </c>
      <c r="E71" s="51" t="s">
        <v>86</v>
      </c>
      <c r="F71" s="45">
        <v>0</v>
      </c>
      <c r="G71" s="46">
        <f>SUM(D71:F71)</f>
        <v>0</v>
      </c>
      <c r="H71" s="31"/>
      <c r="I71"/>
      <c r="J71" s="67"/>
      <c r="L71" s="347">
        <v>1</v>
      </c>
      <c r="M71" s="67"/>
      <c r="N71" s="67"/>
      <c r="O71" s="67"/>
      <c r="P71" s="67"/>
      <c r="Q71" s="67"/>
      <c r="R71" s="67"/>
      <c r="S71" s="67"/>
      <c r="T71" s="67"/>
      <c r="U71" s="67"/>
      <c r="V71" s="67"/>
      <c r="W71" s="1674" t="str">
        <f>IF(AC68&lt;&gt;0,W68 &amp; " " &amp; X68 &amp;" " &amp; Y68 &amp;" " &amp; Z68 &amp; " "&amp; AA68  &amp; " "&amp; AB68  &amp; " "&amp; AC68,"")</f>
        <v xml:space="preserve">Alojamiento (según decreto) 0 noche a  €/noche </v>
      </c>
      <c r="X71" s="1674"/>
      <c r="Y71" s="1674"/>
      <c r="Z71" s="1674"/>
      <c r="AA71" s="1674"/>
      <c r="AB71" s="1674"/>
      <c r="AC71" s="1674"/>
      <c r="AD71" s="191">
        <f>SUM(AC68:AC69)</f>
        <v>0</v>
      </c>
      <c r="AE71" s="192" t="s">
        <v>864</v>
      </c>
      <c r="AF71" s="190"/>
      <c r="AJ71" s="239"/>
      <c r="AK71" s="239"/>
      <c r="AL71" s="246" t="e">
        <f>AP71*AN69*AQ68+AP71</f>
        <v>#VALUE!</v>
      </c>
      <c r="AM71" s="246" t="e">
        <f>IF(AL71=0,"",AL71/X70)</f>
        <v>#VALUE!</v>
      </c>
      <c r="AN71" s="196"/>
      <c r="AO71" s="167"/>
      <c r="AP71" s="166" t="e">
        <f>AR71/(1+AO69)</f>
        <v>#VALUE!</v>
      </c>
      <c r="AQ71" s="167"/>
      <c r="AR71" s="166" t="e">
        <f>AJ70</f>
        <v>#VALUE!</v>
      </c>
      <c r="CQ71" s="9"/>
      <c r="CR71" s="220" t="str">
        <f t="shared" si="40"/>
        <v/>
      </c>
      <c r="CS71" s="201" t="str">
        <f t="shared" si="40"/>
        <v/>
      </c>
      <c r="CT71" s="301" t="str">
        <f t="shared" si="40"/>
        <v/>
      </c>
      <c r="CU71" s="201" t="str">
        <f t="shared" si="40"/>
        <v/>
      </c>
      <c r="CV71" s="24" t="str">
        <f t="shared" si="37"/>
        <v/>
      </c>
      <c r="CW71" s="31"/>
    </row>
    <row r="72" spans="1:101" ht="13.8" x14ac:dyDescent="0.25">
      <c r="A72" s="10"/>
      <c r="B72" s="10"/>
      <c r="C72" s="1708" t="str">
        <f>IF(AND(OR(C68="",C68="Elija Opción"),D68&gt;0),"ELIJA LA OPCIÓN DEL TRANSPORTE",IF(AND(OR(C69="",C69="Elija Opción"),D69&gt;0),"ELIJA LA OPCIÓN DEL TRANSPORTE",IF(AND(OR(C70="",C70="Elija Opción"),D70&gt;0),"ELIJA LA OPCIÓN DEL TRANSPORTE",IF(AND(OR(C71="",C71="Elija Opción"),D71&gt;0),"ELIJA LA OPCIÓN DEL TRANSPORTE",IF(AND(OR(E68="",E68="Elija Opción"),F68&gt;0),"ELIJA LA OPCIÓN DEL TRANSPORTE",IF(AND(OR(E69="",E69="Elija Opción"),F69&gt;0),"ELIJA LA OPCIÓN DEL TRANSPORTE",IF(AND(OR(E70="",E70="Elija Opción"),F70&gt;0),"ELIJA LA OPCIÓN DEL TRANSPORTE",IF(AND(OR(E71="",E71="Elija Opción"),F71&gt;0),"ELIJA LA OPCIÓN DEL TRANSPORTE",IF(AND(G67&gt;0,H66=""),"LIQUIDACIÓN NO VÁLIDA, INDIQUE LA MATRÍCULA","TOTAL LOCOMOCIÓN")))))))))</f>
        <v>TOTAL LOCOMOCIÓN</v>
      </c>
      <c r="D72" s="1708"/>
      <c r="E72" s="1708"/>
      <c r="F72" s="1708"/>
      <c r="G72" s="57"/>
      <c r="H72" s="56" t="str">
        <f>IF(D90&lt;&gt;"","",IF(E91&lt;&gt;D9,"",IF(C72="ELIJA LA OPCIÓN DEL TRANSPORTE",0,SUM(G67:G71))))</f>
        <v/>
      </c>
      <c r="I72"/>
      <c r="J72" s="67"/>
      <c r="L72" s="347">
        <v>9999999</v>
      </c>
      <c r="M72" s="67"/>
      <c r="N72" s="67"/>
      <c r="O72" s="67"/>
      <c r="P72" s="67"/>
      <c r="Q72" s="67"/>
      <c r="R72" s="67"/>
      <c r="S72" s="67"/>
      <c r="T72" s="67"/>
      <c r="U72" s="67"/>
      <c r="V72" s="67"/>
      <c r="W72" s="1674" t="str">
        <f>IF(AC69&lt;&gt;0,W69 &amp; " " &amp; X69 &amp;" " &amp; Y69 &amp;" " &amp; Z69 &amp; " "&amp; AA69  &amp; " "&amp; AB69  &amp; " "&amp; AC69,"")</f>
        <v/>
      </c>
      <c r="X72" s="1674"/>
      <c r="Y72" s="1674"/>
      <c r="Z72" s="1674"/>
      <c r="AA72" s="1674"/>
      <c r="AB72" s="1674"/>
      <c r="AC72" s="1674"/>
      <c r="AE72" s="67"/>
      <c r="AF72" s="67"/>
      <c r="AJ72" s="239"/>
      <c r="AK72" s="239"/>
      <c r="AL72" s="247" t="e">
        <f>IF(AK69="","",IF(AC69&lt;&gt;0,X69&amp;""&amp;Y69&amp;" "&amp;Z69&amp;" "&amp;AK69&amp;AB27&amp;" "&amp;AL70&amp;AC27,""))</f>
        <v>#VALUE!</v>
      </c>
      <c r="AM72" s="196"/>
      <c r="AN72" s="196"/>
      <c r="AO72" s="167"/>
      <c r="AP72" s="167"/>
      <c r="AQ72" s="167"/>
      <c r="AR72" s="167"/>
      <c r="CQ72" s="10"/>
      <c r="CR72" s="1641" t="str">
        <f>IF($B$94&lt;&gt;"","",C72)</f>
        <v/>
      </c>
      <c r="CS72" s="1641"/>
      <c r="CT72" s="1641"/>
      <c r="CU72" s="1641"/>
      <c r="CV72" s="57"/>
      <c r="CW72" s="53" t="str">
        <f>IF(H72="","",IF($B$94&lt;&gt;"","",H72))</f>
        <v/>
      </c>
    </row>
    <row r="73" spans="1:101" ht="13.8" x14ac:dyDescent="0.25">
      <c r="A73" s="10"/>
      <c r="B73" s="49" t="s">
        <v>865</v>
      </c>
      <c r="C73" s="29" t="s">
        <v>866</v>
      </c>
      <c r="D73" s="109" t="str">
        <f>IF(D13="","",D13)</f>
        <v/>
      </c>
      <c r="E73" s="29" t="s">
        <v>867</v>
      </c>
      <c r="F73" s="109" t="str">
        <f>IF(F13="","",F13)</f>
        <v/>
      </c>
      <c r="G73" s="8"/>
      <c r="H73" s="32"/>
      <c r="I73"/>
      <c r="J73" s="67"/>
      <c r="L73" s="67"/>
      <c r="M73" s="67"/>
      <c r="N73" s="67"/>
      <c r="O73" s="67"/>
      <c r="P73" s="67"/>
      <c r="Q73" s="67"/>
      <c r="R73" s="67"/>
      <c r="S73" s="67"/>
      <c r="T73" s="67"/>
      <c r="U73" s="67"/>
      <c r="V73" s="67"/>
      <c r="W73" s="1674" t="str">
        <f>IF(AC70&lt;&gt;0,W70 &amp; " " &amp; X70 &amp;" " &amp; Y70 &amp;" " &amp; Z70 &amp; " "&amp; AA70  &amp; " "&amp; AB70  &amp; " "&amp; AC70,"")</f>
        <v/>
      </c>
      <c r="X73" s="1674"/>
      <c r="Y73" s="1674"/>
      <c r="Z73" s="1674"/>
      <c r="AA73" s="1674"/>
      <c r="AB73" s="1674"/>
      <c r="AC73" s="1674"/>
      <c r="AE73" s="67"/>
      <c r="AF73" s="67"/>
      <c r="AJ73" s="239"/>
      <c r="AK73" s="239"/>
      <c r="AL73" s="247" t="e">
        <f>IF(AK70="","",IF(AC70&lt;&gt;0,X70&amp;""&amp;Y70&amp;" "&amp;Z70&amp;" "&amp;AM71&amp;AB27&amp;" "&amp;AL71&amp;AC27,""))</f>
        <v>#VALUE!</v>
      </c>
      <c r="AM73" s="196"/>
      <c r="AN73" s="196"/>
      <c r="AO73" s="167"/>
      <c r="AP73" s="167"/>
      <c r="AQ73" s="167"/>
      <c r="AR73" s="167"/>
      <c r="CQ73" s="9" t="str">
        <f>IF($B$94&lt;&gt;"","",B73)</f>
        <v/>
      </c>
      <c r="CR73" s="29" t="str">
        <f>IF($B$94&lt;&gt;"","",C73)</f>
        <v/>
      </c>
      <c r="CS73" s="232" t="str">
        <f>IF($B$94&lt;&gt;"","",D73)</f>
        <v/>
      </c>
      <c r="CT73" s="29" t="str">
        <f>IF($B$94&lt;&gt;"","",E73)</f>
        <v/>
      </c>
      <c r="CU73" s="232" t="str">
        <f>IF($B$94&lt;&gt;"","",F73)</f>
        <v/>
      </c>
      <c r="CV73" s="8"/>
      <c r="CW73" s="32"/>
    </row>
    <row r="74" spans="1:101" ht="13.8" x14ac:dyDescent="0.25">
      <c r="A74" s="10"/>
      <c r="B74" s="1693" t="s">
        <v>868</v>
      </c>
      <c r="C74" s="1693"/>
      <c r="D74" s="1693"/>
      <c r="E74" s="1693"/>
      <c r="F74" s="346">
        <v>0</v>
      </c>
      <c r="G74" s="346">
        <v>0</v>
      </c>
      <c r="H74" s="64">
        <f>SUM(F74:G74)</f>
        <v>0</v>
      </c>
      <c r="I74"/>
      <c r="J74" s="67"/>
      <c r="L74" s="348">
        <v>0</v>
      </c>
      <c r="M74" s="67"/>
      <c r="N74" s="67"/>
      <c r="O74" s="67"/>
      <c r="P74" s="67"/>
      <c r="Q74" s="67"/>
      <c r="R74" s="67"/>
      <c r="S74" s="67"/>
      <c r="T74" s="67"/>
      <c r="U74" s="67"/>
      <c r="V74" s="67"/>
      <c r="W74" s="1674" t="str">
        <f>IF(X67&gt;0,"Total alojamiento en T. Extranjero:"&amp;" "&amp;W66&amp;" "&amp;TEXT((X67),"#.###,00 €")&amp;" desglosado en:" &amp; W71 &amp;" " &amp;" " &amp;W72 &amp;" " &amp; W73,"")</f>
        <v/>
      </c>
      <c r="X74" s="1674"/>
      <c r="Y74" s="1674"/>
      <c r="Z74" s="1674"/>
      <c r="AA74" s="1674"/>
      <c r="AB74" s="1674"/>
      <c r="AC74" s="1674"/>
      <c r="AD74" s="1674"/>
      <c r="AE74" s="1674"/>
      <c r="AF74" s="67"/>
      <c r="AL74" s="239" t="e">
        <f>W66&amp;" "&amp;AL72</f>
        <v>#VALUE!</v>
      </c>
      <c r="CQ74" s="1538" t="str">
        <f>IF($B$94&lt;&gt;"","",B74)</f>
        <v/>
      </c>
      <c r="CR74" s="1538"/>
      <c r="CS74" s="1538"/>
      <c r="CT74" s="1538"/>
      <c r="CU74" s="202" t="str">
        <f t="shared" ref="CU74:CW75" si="41">IF($B$94&lt;&gt;"","",F74)</f>
        <v/>
      </c>
      <c r="CV74" s="202" t="str">
        <f t="shared" si="41"/>
        <v/>
      </c>
      <c r="CW74" s="32" t="str">
        <f t="shared" si="41"/>
        <v/>
      </c>
    </row>
    <row r="75" spans="1:101" ht="13.8" x14ac:dyDescent="0.25">
      <c r="A75" s="10"/>
      <c r="B75" s="1679" t="s">
        <v>869</v>
      </c>
      <c r="C75" s="1679"/>
      <c r="D75" s="1679"/>
      <c r="E75" s="1679"/>
      <c r="F75" s="84">
        <v>0</v>
      </c>
      <c r="G75" s="63">
        <v>0</v>
      </c>
      <c r="H75" s="95">
        <f>SUM(F75:G75)</f>
        <v>0</v>
      </c>
      <c r="I75"/>
      <c r="J75" s="67"/>
      <c r="L75" s="348">
        <v>99999.99</v>
      </c>
      <c r="N75" s="67"/>
      <c r="O75" s="67"/>
      <c r="P75" s="67"/>
      <c r="Q75" s="67"/>
      <c r="R75" s="67"/>
      <c r="S75" s="67"/>
      <c r="T75" s="67"/>
      <c r="U75" s="67"/>
      <c r="V75" s="67"/>
      <c r="W75" s="165" t="s">
        <v>634</v>
      </c>
      <c r="X75" s="281">
        <f>SUM(G59:G62)</f>
        <v>0</v>
      </c>
      <c r="Y75" s="165"/>
      <c r="Z75" s="165" t="s">
        <v>811</v>
      </c>
      <c r="AA75" s="165"/>
      <c r="AB75" s="165"/>
      <c r="AC75" s="165" t="s">
        <v>773</v>
      </c>
      <c r="AE75" s="67"/>
      <c r="AF75" s="67"/>
      <c r="AL75" s="251" t="e">
        <f>IF(AL73="","",W66&amp;" "&amp;W70&amp;" "&amp;AL73)</f>
        <v>#VALUE!</v>
      </c>
      <c r="CQ75" s="1642" t="str">
        <f>IF($B$94&lt;&gt;"","",B75)</f>
        <v/>
      </c>
      <c r="CR75" s="1642"/>
      <c r="CS75" s="1642"/>
      <c r="CT75" s="1642"/>
      <c r="CU75" s="202" t="str">
        <f t="shared" si="41"/>
        <v/>
      </c>
      <c r="CV75" s="202" t="str">
        <f t="shared" si="41"/>
        <v/>
      </c>
      <c r="CW75" s="32" t="str">
        <f t="shared" si="41"/>
        <v/>
      </c>
    </row>
    <row r="76" spans="1:101" ht="15.6" x14ac:dyDescent="0.3">
      <c r="A76" s="10"/>
      <c r="B76" s="1663" t="s">
        <v>870</v>
      </c>
      <c r="C76" s="1663"/>
      <c r="D76" s="1680" t="s">
        <v>17</v>
      </c>
      <c r="E76" s="1680"/>
      <c r="F76" s="30"/>
      <c r="G76" s="30"/>
      <c r="H76" s="96"/>
      <c r="I76"/>
      <c r="J76" s="67"/>
      <c r="L76" s="67"/>
      <c r="N76" s="67"/>
      <c r="O76" s="67"/>
      <c r="P76" s="67"/>
      <c r="Q76" s="67"/>
      <c r="R76" s="67"/>
      <c r="S76" s="67"/>
      <c r="T76" s="67"/>
      <c r="U76" s="67"/>
      <c r="V76" s="67"/>
      <c r="W76" s="165" t="str">
        <f t="shared" ref="W76:Y79" si="42">B59</f>
        <v>1/2 manutención</v>
      </c>
      <c r="X76" s="183">
        <f t="shared" si="42"/>
        <v>0</v>
      </c>
      <c r="Y76" s="165" t="str">
        <f t="shared" si="42"/>
        <v>día</v>
      </c>
      <c r="Z76" s="165" t="s">
        <v>780</v>
      </c>
      <c r="AA76" s="164" t="str">
        <f t="shared" ref="AA76:AC79" si="43">E59</f>
        <v/>
      </c>
      <c r="AB76" s="165" t="str">
        <f t="shared" si="43"/>
        <v>€/día</v>
      </c>
      <c r="AC76" s="164">
        <f t="shared" si="43"/>
        <v>0</v>
      </c>
      <c r="AD76" s="67" t="str">
        <f>IF(AC76&lt;&gt;0,X76&amp;" "&amp;Y76&amp;" "&amp;Z75&amp;" "&amp;Z76&amp;" "&amp;AA76&amp;$AB$35&amp;" "&amp;AC76&amp;$AC$35,"")</f>
        <v/>
      </c>
      <c r="AE76" s="67"/>
      <c r="AF76" s="67"/>
      <c r="CQ76" s="1538" t="str">
        <f>IF($B$94&lt;&gt;"","",B76)</f>
        <v/>
      </c>
      <c r="CR76" s="1538"/>
      <c r="CS76" s="1631" t="str">
        <f>IF($B$94&lt;&gt;"","",D76)</f>
        <v/>
      </c>
      <c r="CT76" s="1631"/>
      <c r="CU76" s="30"/>
      <c r="CV76" s="30"/>
      <c r="CW76" s="96"/>
    </row>
    <row r="77" spans="1:101" ht="13.8" x14ac:dyDescent="0.25">
      <c r="A77" s="10"/>
      <c r="B77" s="1664" t="str">
        <f>IF(OR(D76="Elija la Opción    ▼",D76=""),"Es obligatorio responder a esta pregunta","")</f>
        <v>Es obligatorio responder a esta pregunta</v>
      </c>
      <c r="C77" s="1664"/>
      <c r="D77" s="1664" t="str">
        <f>IF(AND(D76="SÍ",G77=""),"Indique el Nº de la Orden de Pago",IF(AND(D76="SÍ",G77&lt;&gt;""),"Nº de la Orden de Pago",""))</f>
        <v/>
      </c>
      <c r="E77" s="1664"/>
      <c r="F77" s="1664"/>
      <c r="G77" s="148"/>
      <c r="H77" s="39"/>
      <c r="I77"/>
      <c r="J77" s="67"/>
      <c r="L77" s="67"/>
      <c r="N77" s="67"/>
      <c r="O77" s="67"/>
      <c r="P77" s="67"/>
      <c r="Q77" s="67"/>
      <c r="R77" s="67"/>
      <c r="S77" s="67"/>
      <c r="T77" s="67"/>
      <c r="U77" s="67"/>
      <c r="V77" s="67"/>
      <c r="W77" s="165" t="str">
        <f t="shared" si="42"/>
        <v/>
      </c>
      <c r="X77" s="183">
        <f t="shared" si="42"/>
        <v>0</v>
      </c>
      <c r="Y77" s="165" t="str">
        <f t="shared" si="42"/>
        <v>día</v>
      </c>
      <c r="Z77" s="165" t="s">
        <v>780</v>
      </c>
      <c r="AA77" s="164">
        <f t="shared" si="43"/>
        <v>0</v>
      </c>
      <c r="AB77" s="165" t="str">
        <f t="shared" si="43"/>
        <v>€/día</v>
      </c>
      <c r="AC77" s="164" t="str">
        <f t="shared" si="43"/>
        <v/>
      </c>
      <c r="AD77" s="67" t="str">
        <f>IF(AC77&lt;&gt;0,X77&amp;" "&amp;Y77&amp;"  "&amp;Z77&amp;" "&amp;AA77&amp;$AB$35&amp;" "&amp;AC77&amp;$AC$35,"")</f>
        <v>0 día  a 0€/D €;</v>
      </c>
      <c r="AE77" s="67"/>
      <c r="AF77" s="67"/>
      <c r="CQ77" s="1631"/>
      <c r="CR77" s="1631"/>
      <c r="CS77" s="1631" t="str">
        <f>IF($B$94&lt;&gt;"","",D77)</f>
        <v/>
      </c>
      <c r="CT77" s="1631"/>
      <c r="CU77" s="1631"/>
      <c r="CV77" s="30" t="str">
        <f>IF($B$94&lt;&gt;"","",G77)</f>
        <v/>
      </c>
      <c r="CW77" s="39"/>
    </row>
    <row r="78" spans="1:101" ht="13.8" x14ac:dyDescent="0.25">
      <c r="A78" s="10"/>
      <c r="B78" s="80"/>
      <c r="C78" s="81"/>
      <c r="D78" s="1679" t="str">
        <f>IF(D90&lt;&gt;"","",IF(E91&lt;&gt;D9,"","EL  GASTO  TOTAL  DE  ESTE  VIAJE  ASCIENDE  A:"))</f>
        <v/>
      </c>
      <c r="E78" s="1679"/>
      <c r="F78" s="1679"/>
      <c r="G78" s="1679"/>
      <c r="H78" s="54">
        <f>IF(E91&lt;&gt;D9,0,IF(D90&lt;&gt;"",0,SUM(G64+H72+H74+H75)))</f>
        <v>0</v>
      </c>
      <c r="I78"/>
      <c r="J78" s="67"/>
      <c r="L78" s="67"/>
      <c r="M78" s="67"/>
      <c r="N78" s="67"/>
      <c r="O78" s="67"/>
      <c r="P78" s="67"/>
      <c r="Q78" s="67"/>
      <c r="R78" s="67"/>
      <c r="S78" s="67"/>
      <c r="T78" s="67"/>
      <c r="U78" s="67"/>
      <c r="V78" s="67"/>
      <c r="W78" s="165" t="str">
        <f t="shared" si="42"/>
        <v>Manutención (según factura/Ticket)</v>
      </c>
      <c r="X78" s="183">
        <f t="shared" si="42"/>
        <v>0</v>
      </c>
      <c r="Y78" s="165" t="str">
        <f t="shared" si="42"/>
        <v>día</v>
      </c>
      <c r="Z78" s="165" t="s">
        <v>780</v>
      </c>
      <c r="AA78" s="164">
        <f t="shared" si="43"/>
        <v>0</v>
      </c>
      <c r="AB78" s="165" t="str">
        <f t="shared" si="43"/>
        <v>€/día</v>
      </c>
      <c r="AC78" s="164">
        <f t="shared" si="43"/>
        <v>0</v>
      </c>
      <c r="AD78" s="67" t="str">
        <f>IF(AC78&lt;&gt;0,X78&amp;" "&amp;Y78&amp;"  "&amp;Z78&amp;" "&amp;AA78&amp;$AB$35&amp;" "&amp;AC78&amp;$AC$35,"")</f>
        <v/>
      </c>
      <c r="AE78" s="67"/>
      <c r="CQ78" s="79"/>
      <c r="CR78" s="233"/>
      <c r="CS78" s="1642" t="str">
        <f>IF($B$94&lt;&gt;"","",D78)</f>
        <v/>
      </c>
      <c r="CT78" s="1642"/>
      <c r="CU78" s="1642"/>
      <c r="CV78" s="1642"/>
      <c r="CW78" s="53" t="str">
        <f>IF($B$94&lt;&gt;"","",H78)</f>
        <v/>
      </c>
    </row>
    <row r="79" spans="1:101" ht="13.8" x14ac:dyDescent="0.25">
      <c r="A79" s="10"/>
      <c r="B79" s="1666" t="str">
        <f>IF(E91&lt;&gt;D9,"",IF(D90&lt;&gt;"","",IF(D9="","","LIQUIDACION A FAVOR DE: "&amp;((D9)))))</f>
        <v/>
      </c>
      <c r="C79" s="1666"/>
      <c r="D79" s="1666"/>
      <c r="E79" s="1666"/>
      <c r="F79" s="1666"/>
      <c r="G79" s="1666"/>
      <c r="H79" s="55">
        <f>IF(E91&lt;&gt;D9,0,IF(D90&lt;&gt;"",0,(SUM(H78-H80))))</f>
        <v>0</v>
      </c>
      <c r="I79"/>
      <c r="J79" s="67"/>
      <c r="K79" s="67"/>
      <c r="L79" s="67"/>
      <c r="M79" s="67"/>
      <c r="N79" s="67"/>
      <c r="O79" s="67"/>
      <c r="P79" s="67"/>
      <c r="Q79" s="67"/>
      <c r="R79" s="67"/>
      <c r="S79" s="67"/>
      <c r="T79" s="67"/>
      <c r="U79" s="67"/>
      <c r="V79" s="67"/>
      <c r="W79" s="165" t="str">
        <f t="shared" si="42"/>
        <v/>
      </c>
      <c r="X79" s="183">
        <f t="shared" si="42"/>
        <v>0</v>
      </c>
      <c r="Y79" s="165" t="str">
        <f t="shared" si="42"/>
        <v/>
      </c>
      <c r="Z79" s="165" t="s">
        <v>780</v>
      </c>
      <c r="AA79" s="164" t="str">
        <f t="shared" si="43"/>
        <v/>
      </c>
      <c r="AB79" s="165" t="str">
        <f t="shared" si="43"/>
        <v/>
      </c>
      <c r="AC79" s="164" t="str">
        <f t="shared" si="43"/>
        <v/>
      </c>
      <c r="AD79" s="67" t="str">
        <f>IF(AC79&lt;&gt;"",X79&amp;" "&amp;Y79&amp;"  "&amp;Z79&amp;" "&amp;AA79&amp;$AB$35&amp;" "&amp;AC79&amp;$AC$35,"")</f>
        <v/>
      </c>
      <c r="AE79" s="67"/>
      <c r="CQ79" s="1642" t="str">
        <f t="shared" ref="CQ79:CQ86" si="44">IF($B$94&lt;&gt;"","",B79)</f>
        <v/>
      </c>
      <c r="CR79" s="1642"/>
      <c r="CS79" s="1642"/>
      <c r="CT79" s="1642"/>
      <c r="CU79" s="1642"/>
      <c r="CV79" s="1642"/>
      <c r="CW79" s="53" t="str">
        <f>IF($B$94&lt;&gt;"","",H79)</f>
        <v/>
      </c>
    </row>
    <row r="80" spans="1:101" ht="15.6" x14ac:dyDescent="0.3">
      <c r="A80" s="10"/>
      <c r="B80" s="1667" t="str">
        <f>IF(D90&lt;&gt;"","",IF(E91&lt;&gt;D9,"",IF(H80&lt;&gt;"","Pagos a favor de Terceros: ","")))</f>
        <v/>
      </c>
      <c r="C80" s="1667"/>
      <c r="D80" s="1667"/>
      <c r="E80" s="1667"/>
      <c r="F80" s="1667"/>
      <c r="G80" s="1667"/>
      <c r="H80" s="68">
        <f>IF(E91&lt;&gt;D9,0,IF(D90&lt;&gt;"",0,G22+G36+G47+G58+G69+H75))</f>
        <v>0</v>
      </c>
      <c r="I80"/>
      <c r="J80" s="67"/>
      <c r="K80" s="67"/>
      <c r="L80" s="15" t="s">
        <v>86</v>
      </c>
      <c r="M80" s="67"/>
      <c r="N80" s="15" t="s">
        <v>17</v>
      </c>
      <c r="O80" s="67"/>
      <c r="P80" s="67"/>
      <c r="Q80" s="67"/>
      <c r="R80" s="67"/>
      <c r="S80" s="67"/>
      <c r="T80" s="67"/>
      <c r="U80" s="67"/>
      <c r="V80" s="67"/>
      <c r="W80" s="1353" t="str">
        <f>IF(AC76&gt;0,W76 &amp; " " &amp; X76&amp;" " &amp; Y76 &amp;" " &amp; Z76 &amp; " "&amp; AA76  &amp; " "&amp; AB76  &amp; " "&amp; AC76,"")</f>
        <v/>
      </c>
      <c r="X80" s="1353"/>
      <c r="Y80" s="1353"/>
      <c r="Z80" s="1353"/>
      <c r="AA80" s="1353"/>
      <c r="AB80" s="1353"/>
      <c r="AC80" s="1353"/>
      <c r="AD80" s="175" t="str">
        <f>IF(X75&lt;&gt;0,W66&amp;" "&amp;X75&amp;AC75&amp;" "&amp;AD76&amp;" "&amp;AD77&amp;" "&amp;AD78&amp;" "&amp;AD79,"")</f>
        <v/>
      </c>
      <c r="AE80" s="162"/>
      <c r="CQ80" s="1647" t="str">
        <f t="shared" si="44"/>
        <v/>
      </c>
      <c r="CR80" s="1647"/>
      <c r="CS80" s="1647"/>
      <c r="CT80" s="1647"/>
      <c r="CU80" s="1647"/>
      <c r="CV80" s="1647"/>
      <c r="CW80" s="53" t="str">
        <f>IF($B$94&lt;&gt;"","",H80)</f>
        <v/>
      </c>
    </row>
    <row r="81" spans="1:102" ht="16.2" customHeight="1" x14ac:dyDescent="0.3">
      <c r="A81" s="10"/>
      <c r="B81" s="149" t="s">
        <v>12</v>
      </c>
      <c r="C81" s="1706" t="s">
        <v>17</v>
      </c>
      <c r="D81" s="1706"/>
      <c r="E81" s="1707" t="str">
        <f>IF(H79=0,"",IF(AND(C81="SÍ",D76="SÍ")," De los "&amp;TEXT((H79),"#.###,00 €")&amp;" a mi favor, ",IF(AND(C81="SÍ",D76="NO")," De los "&amp;TEXT((H79),"#.###,00 €")&amp;" a mi favor,  ","")))</f>
        <v/>
      </c>
      <c r="F81" s="1707"/>
      <c r="G81" s="1707"/>
      <c r="H81" s="40"/>
      <c r="I81"/>
      <c r="J81" s="67"/>
      <c r="K81" s="67"/>
      <c r="L81" s="15" t="s">
        <v>89</v>
      </c>
      <c r="M81" s="67"/>
      <c r="N81" s="15" t="s">
        <v>13</v>
      </c>
      <c r="O81" s="67"/>
      <c r="P81" s="67"/>
      <c r="Q81" s="67"/>
      <c r="R81" s="67"/>
      <c r="S81" s="67"/>
      <c r="T81" s="67"/>
      <c r="U81" s="67"/>
      <c r="V81" s="67"/>
      <c r="W81" s="1674" t="str">
        <f>IF(AC77&gt;0,W77 &amp; " " &amp; X77&amp;" " &amp; Y77 &amp;" " &amp; Z77 &amp; " "&amp; AA77  &amp; " "&amp; AB77  &amp; " "&amp; AC77,"")</f>
        <v xml:space="preserve"> 0 día a 0 €/día </v>
      </c>
      <c r="X81" s="1674"/>
      <c r="Y81" s="1674"/>
      <c r="Z81" s="1674"/>
      <c r="AA81" s="1674"/>
      <c r="AB81" s="1674"/>
      <c r="AC81" s="1674"/>
      <c r="AD81" s="162"/>
      <c r="AE81" s="162"/>
      <c r="CQ81" s="222" t="str">
        <f t="shared" si="44"/>
        <v/>
      </c>
      <c r="CR81" s="1552" t="str">
        <f>IF($B$94&lt;&gt;"","",C81)</f>
        <v/>
      </c>
      <c r="CS81" s="1552"/>
      <c r="CT81" s="1647" t="str">
        <f>IF($B$94&lt;&gt;"","",E81)</f>
        <v/>
      </c>
      <c r="CU81" s="1647"/>
      <c r="CV81" s="1647"/>
      <c r="CW81" s="234"/>
    </row>
    <row r="82" spans="1:102" ht="15.6" x14ac:dyDescent="0.3">
      <c r="A82" s="10"/>
      <c r="B82" s="1668" t="str">
        <f>IF(AND(C81="SÍ",H82=""),"INDIQUE EL IMPORTE TOTAL QUE DESEA PERCIBIR (EN LA CELDA DE COLOR GRIS)",IF(AND(C81="SÍ",H82&gt;H79),"SI RENUNCIA EL IMPORTE TIENE QUE SER MENOR DE: "&amp;TEXT((H79),"#.###,00 €"),IF(AND(C81="SÍ",H82=H79),"SI RENUNCIA EL IMPORTE TIENE QUE SER MENOR DE: "&amp;TEXT((H79),"#.###,00 €"),IF(AND(D76="SÍ",C81="NO"),"HE SOLICITADO UN ANTICIPO Y NO DESEO RENUNCIAR",IF(H79=0,"",IF(AND(C81="SÍ",D76="SÍ")," solo quiero percibir por este viaje un total de: "&amp;TEXT((H82),"#.###,00 €")&amp;" (incluyendo el anticipo).",IF(AND(C81="SÍ",D76="NO")," solo quiero percibir por este viaje un total de: "&amp;TEXT((H82),"#.###,00 €"),"")))))))</f>
        <v/>
      </c>
      <c r="C82" s="1668"/>
      <c r="D82" s="1668"/>
      <c r="E82" s="1668"/>
      <c r="F82" s="1668"/>
      <c r="G82" s="1668"/>
      <c r="H82" s="147"/>
      <c r="I82"/>
      <c r="J82" s="67"/>
      <c r="K82" s="67"/>
      <c r="L82" s="15" t="s">
        <v>92</v>
      </c>
      <c r="M82" s="67"/>
      <c r="N82" s="15" t="s">
        <v>170</v>
      </c>
      <c r="O82" s="67"/>
      <c r="P82" s="67"/>
      <c r="Q82" s="67"/>
      <c r="R82" s="67"/>
      <c r="S82" s="67"/>
      <c r="T82" s="67"/>
      <c r="U82" s="67"/>
      <c r="V82" s="67"/>
      <c r="W82" s="1674" t="str">
        <f>IF(AC78&gt;0,W78 &amp; " " &amp; X78&amp;" " &amp; Y78 &amp;" " &amp; Z78 &amp; " "&amp; AA78  &amp; " "&amp; AB78  &amp; " "&amp; AC78,"")</f>
        <v/>
      </c>
      <c r="X82" s="1674"/>
      <c r="Y82" s="1674"/>
      <c r="Z82" s="1674"/>
      <c r="AA82" s="1674"/>
      <c r="AB82" s="1674"/>
      <c r="AC82" s="1674"/>
      <c r="AD82" s="162"/>
      <c r="AE82" s="162"/>
      <c r="CQ82" s="1552" t="str">
        <f t="shared" si="44"/>
        <v/>
      </c>
      <c r="CR82" s="1552"/>
      <c r="CS82" s="1552"/>
      <c r="CT82" s="1552"/>
      <c r="CU82" s="1552"/>
      <c r="CV82" s="1552"/>
      <c r="CW82" s="32" t="str">
        <f>IF(H82="","",IF($B$94&lt;&gt;"","",H82))</f>
        <v/>
      </c>
    </row>
    <row r="83" spans="1:102" ht="13.8" x14ac:dyDescent="0.25">
      <c r="A83" s="10"/>
      <c r="B83" s="41" t="str">
        <f>IF(E91&lt;&gt;D9,"",IF(D90&lt;&gt;"","","Plan Propio / Otras Ayudas:"))</f>
        <v/>
      </c>
      <c r="C83" s="1676"/>
      <c r="D83" s="1676"/>
      <c r="E83" s="1676"/>
      <c r="F83" s="1676"/>
      <c r="G83" s="1676"/>
      <c r="H83" s="97">
        <v>0</v>
      </c>
      <c r="I83"/>
      <c r="J83" s="67"/>
      <c r="K83" s="67"/>
      <c r="L83" s="15" t="s">
        <v>97</v>
      </c>
      <c r="M83" s="1674"/>
      <c r="N83" s="1674"/>
      <c r="O83" s="1674"/>
      <c r="P83" s="1674"/>
      <c r="Q83" s="1674"/>
      <c r="R83" s="1674"/>
      <c r="S83" s="1674"/>
      <c r="T83" s="1674"/>
      <c r="U83" s="67"/>
      <c r="V83" s="67"/>
      <c r="W83" s="1674" t="str">
        <f>IF(OR(AC79=0,AC79=""),"",W79&amp;" "&amp;X79&amp;" "&amp;Y79&amp;" "&amp;Z79&amp;" "&amp;AA79&amp;" "&amp;AB79&amp;" "&amp;AC79)</f>
        <v/>
      </c>
      <c r="X83" s="1674"/>
      <c r="Y83" s="1674"/>
      <c r="Z83" s="1674"/>
      <c r="AA83" s="1674"/>
      <c r="AB83" s="1674"/>
      <c r="AC83" s="1674"/>
      <c r="AD83" s="1674"/>
      <c r="AE83" s="1674"/>
      <c r="CQ83" s="30" t="str">
        <f t="shared" si="44"/>
        <v/>
      </c>
      <c r="CR83" s="1634" t="str">
        <f>IF(C83="","",IF($B$94&lt;&gt;"","",C83))</f>
        <v/>
      </c>
      <c r="CS83" s="1634"/>
      <c r="CT83" s="1634"/>
      <c r="CU83" s="1634"/>
      <c r="CV83" s="1634"/>
      <c r="CW83" s="235" t="str">
        <f>IF($B$94&lt;&gt;"","",H83)</f>
        <v/>
      </c>
    </row>
    <row r="84" spans="1:102" x14ac:dyDescent="0.25">
      <c r="A84" s="10"/>
      <c r="B84" s="42" t="str">
        <f>IF(E91&lt;&gt;D9,"",IF(D90&lt;&gt;"","","NOTA IMPORTANTE:"))</f>
        <v/>
      </c>
      <c r="C84" s="10"/>
      <c r="D84" s="10"/>
      <c r="E84" s="10"/>
      <c r="F84" s="10"/>
      <c r="G84" s="10"/>
      <c r="H84" s="10"/>
      <c r="L84" s="15" t="s">
        <v>103</v>
      </c>
      <c r="W84" s="1674" t="str">
        <f>IF(X75&gt;0,"Total manutención en T. Extranjero:"&amp;" "&amp;W66&amp;" "&amp;TEXT((X75),"#.###,00 €")&amp;" desglosado en:"&amp;W80&amp;" "&amp;" "&amp;W81&amp;" "&amp;W82&amp;" "&amp;W83,"")</f>
        <v/>
      </c>
      <c r="X84" s="1674"/>
      <c r="Y84" s="1674"/>
      <c r="Z84" s="1674"/>
      <c r="AA84" s="1674"/>
      <c r="AB84" s="1674"/>
      <c r="AC84" s="1674"/>
      <c r="AD84" s="1674"/>
      <c r="AE84" s="1674"/>
      <c r="AF84" s="1674"/>
      <c r="CQ84" s="42" t="str">
        <f t="shared" si="44"/>
        <v/>
      </c>
      <c r="CR84" s="10"/>
      <c r="CS84" s="10"/>
      <c r="CT84" s="10"/>
      <c r="CU84" s="10"/>
      <c r="CV84" s="10"/>
      <c r="CW84" s="10"/>
    </row>
    <row r="85" spans="1:102" x14ac:dyDescent="0.25">
      <c r="A85" s="10"/>
      <c r="B85" s="1635" t="str">
        <f>IF(D90&lt;&gt;"","",IF(E91&lt;&gt;D9,"","Declaro que son ciertos los datos que figuran en la presente liquidación y que no he recibido cantidad alguna por estos mismos conceptos"))</f>
        <v/>
      </c>
      <c r="C85" s="1635"/>
      <c r="D85" s="1635"/>
      <c r="E85" s="1635"/>
      <c r="F85" s="1635"/>
      <c r="G85" s="1635"/>
      <c r="H85" s="1635"/>
      <c r="L85" s="15" t="s">
        <v>108</v>
      </c>
      <c r="W85" s="67"/>
      <c r="AE85" s="67"/>
      <c r="AF85" s="67"/>
      <c r="CQ85" s="1635" t="str">
        <f t="shared" si="44"/>
        <v/>
      </c>
      <c r="CR85" s="1635"/>
      <c r="CS85" s="1635"/>
      <c r="CT85" s="1635"/>
      <c r="CU85" s="1635"/>
      <c r="CV85" s="1635"/>
      <c r="CW85" s="1635"/>
    </row>
    <row r="86" spans="1:102" x14ac:dyDescent="0.25">
      <c r="A86" s="10"/>
      <c r="B86" s="1635" t="str">
        <f>IF(D90&lt;&gt;"","",IF(E91&lt;&gt;D9,"","por parte de otro organismo o entidad privada."))</f>
        <v/>
      </c>
      <c r="C86" s="1635"/>
      <c r="D86" s="1635"/>
      <c r="E86" s="1635"/>
      <c r="F86" s="1635"/>
      <c r="G86" s="1635"/>
      <c r="H86" s="1635"/>
      <c r="L86" s="15" t="s">
        <v>112</v>
      </c>
      <c r="W86" s="67" t="s">
        <v>871</v>
      </c>
      <c r="X86" s="1700" t="str">
        <f>W13&amp;" "&amp;W34&amp;" "&amp;W54&amp;" "&amp;W74</f>
        <v xml:space="preserve">   </v>
      </c>
      <c r="Y86" s="1700"/>
      <c r="Z86" s="1700"/>
      <c r="AA86" s="1700"/>
      <c r="AB86" s="1700"/>
      <c r="AC86" s="1700"/>
      <c r="AD86" s="1700"/>
      <c r="AE86" s="1700"/>
      <c r="AF86" s="1700"/>
      <c r="AG86" s="1700"/>
      <c r="AH86" s="1700"/>
      <c r="AI86" s="1700"/>
      <c r="AJ86" s="1700"/>
      <c r="CQ86" s="1635" t="str">
        <f t="shared" si="44"/>
        <v/>
      </c>
      <c r="CR86" s="1635"/>
      <c r="CS86" s="1635"/>
      <c r="CT86" s="1635"/>
      <c r="CU86" s="1635"/>
      <c r="CV86" s="1635"/>
      <c r="CW86" s="1635"/>
    </row>
    <row r="87" spans="1:102" x14ac:dyDescent="0.25">
      <c r="A87" s="10"/>
      <c r="B87" s="10"/>
      <c r="C87" s="1675"/>
      <c r="D87" s="1675"/>
      <c r="E87" s="1675"/>
      <c r="F87" s="1675"/>
      <c r="G87" s="1675"/>
      <c r="H87" s="10"/>
      <c r="L87" s="15" t="s">
        <v>116</v>
      </c>
      <c r="W87" s="67" t="s">
        <v>872</v>
      </c>
      <c r="X87" s="177" t="str">
        <f>W23&amp;" "&amp;W44&amp;" "&amp;W64&amp;" "&amp;W84</f>
        <v xml:space="preserve">   </v>
      </c>
      <c r="Y87" s="153"/>
      <c r="AA87" s="153"/>
      <c r="AC87" s="158"/>
      <c r="AE87" s="67"/>
      <c r="AF87" s="67"/>
      <c r="BE87" s="137"/>
      <c r="BF87" s="137"/>
      <c r="BG87" s="137"/>
      <c r="BH87" s="137"/>
      <c r="BI87" s="137"/>
      <c r="BJ87" s="137"/>
      <c r="BK87" s="137"/>
      <c r="BL87" s="137"/>
      <c r="BM87" s="137"/>
      <c r="BN87" s="137"/>
      <c r="BO87" s="137"/>
      <c r="BP87" s="137"/>
      <c r="BQ87" s="137"/>
      <c r="BR87" s="137"/>
      <c r="BS87" s="137"/>
      <c r="BT87" s="137"/>
      <c r="BU87" s="137"/>
      <c r="BV87" s="137"/>
      <c r="BW87" s="137"/>
      <c r="BX87" s="137"/>
      <c r="BY87" s="137"/>
      <c r="BZ87" s="137"/>
      <c r="CA87" s="137"/>
      <c r="CB87" s="137"/>
      <c r="CQ87" s="10"/>
      <c r="CR87" s="1547"/>
      <c r="CS87" s="1547"/>
      <c r="CT87" s="1547"/>
      <c r="CU87" s="1547"/>
      <c r="CV87" s="1547"/>
      <c r="CW87" s="10"/>
    </row>
    <row r="88" spans="1:102" ht="13.8" x14ac:dyDescent="0.25">
      <c r="A88" s="10"/>
      <c r="B88" s="10"/>
      <c r="C88" s="43" t="s">
        <v>873</v>
      </c>
      <c r="D88" s="1677" t="s">
        <v>874</v>
      </c>
      <c r="E88" s="1644"/>
      <c r="F88" s="1678"/>
      <c r="G88" s="1678"/>
      <c r="H88" s="1678"/>
      <c r="I88" s="1"/>
      <c r="J88" s="180"/>
      <c r="K88" s="180"/>
      <c r="L88" s="15" t="s">
        <v>122</v>
      </c>
      <c r="M88" s="180"/>
      <c r="N88" s="180"/>
      <c r="O88" s="180"/>
      <c r="P88" s="180"/>
      <c r="Q88" s="180"/>
      <c r="R88" s="78"/>
      <c r="CQ88" s="10"/>
      <c r="CR88" s="43" t="str">
        <f>IF($B$94&lt;&gt;"","",C88)</f>
        <v/>
      </c>
      <c r="CS88" s="1643" t="str">
        <f>IF($B$94&lt;&gt;"","",D88)</f>
        <v/>
      </c>
      <c r="CT88" s="1644"/>
      <c r="CU88" s="1645" t="str">
        <f>IF($B$94&lt;&gt;"","",F88)</f>
        <v/>
      </c>
      <c r="CV88" s="1645"/>
      <c r="CW88" s="1645"/>
    </row>
    <row r="89" spans="1:102" x14ac:dyDescent="0.25">
      <c r="A89" s="10"/>
      <c r="B89" s="10"/>
      <c r="C89" s="44"/>
      <c r="D89" s="44"/>
      <c r="E89" s="44"/>
      <c r="F89" s="44"/>
      <c r="G89" s="44"/>
      <c r="H89" s="44"/>
      <c r="I89" s="1"/>
      <c r="J89" s="180"/>
      <c r="K89" s="180"/>
      <c r="L89" s="15" t="s">
        <v>132</v>
      </c>
      <c r="M89" s="180"/>
      <c r="N89" s="180"/>
      <c r="O89" s="180"/>
      <c r="P89" s="180"/>
      <c r="Q89" s="180"/>
      <c r="R89" s="180"/>
      <c r="W89" s="67" t="s">
        <v>875</v>
      </c>
      <c r="X89" s="15"/>
      <c r="Y89" s="15"/>
      <c r="AD89" s="165" t="str">
        <f ca="1">IF(AE101=0,"","a 0,19€/Km")</f>
        <v/>
      </c>
      <c r="CQ89" s="10"/>
      <c r="CR89" s="10"/>
      <c r="CS89" s="10"/>
      <c r="CT89" s="10"/>
      <c r="CU89" s="10"/>
      <c r="CV89" s="10"/>
      <c r="CW89" s="10"/>
    </row>
    <row r="90" spans="1:102" x14ac:dyDescent="0.25">
      <c r="A90" s="10"/>
      <c r="B90" s="10"/>
      <c r="C90" s="44"/>
      <c r="D90" s="1547" t="str">
        <f>IF(B8=K1,K15,IF(D9="","LIQUIDACIÓN NO VÁLIDA, ESCRIBA SU NOMBRE Y APELLIDOS",IF(H9="","LIQUIDACIÓN NO VÁLIDA, FALTA INDICAR EL D.N.I.",IF(C10="","LIQUIDACIÓN NO VÁLIDA, FALTA CUMPLIMENTAR LA VINCULACIÓN CON EL PROYECTO",IF(G10="","LIQUIDACIÓN NO VÁLIDA, FALTA INDICAR CUERPO O ESCALA",IF(C11="","LIQUIDACIÓN NO VÁLIDA, FALTA CUMPLIMENTAR EL MOTIVO DEL VIAJE",IF(C12="","LIQUIDACIÓNNO VÁLIDA, FALTA CUMPLIMENTAR EL ITINERARIO",IF(H12="","LIQUIDACIÓN NO VÁLIDA, FALTA CUMPLIMENTAR EL LUGAR DE DESTINO",IF(D13="","LIQUIDACIÓN NO VÁLIDA, FALTA INDICAR LA FECHA DE INICIO DE LA ACTIVIDAD",IF(F13="","LIQUIDACIÍN NO VÁLIDA, FALTA INDICAR LA FECHA DE FIN DE LA ACTIVIDAD",IF(OR(B15="Falta indicar la hora",B17="Falta indicar la hora"),"LIQUIDACIÓN NO VÁLIDA, FALTA INDICAR LA HORA",IF(AND(L18&lt;&gt;0,C15=""),"LIQUIDACIÓN NO VÁLIDA, FALTA INDICAR LA FECHA DESDE",IF(AND(L18&lt;&gt;0,C17=""),"LIQUIDACIÓN NO VÁLIDA, FALTA INDICAR LA FECHA DESDE",IF(OR(H21="Falta indicar las noches",H22="Falta indicar las noches"),"LIQUIDACIÓN NO VÁLIDA, FALTA INDICAR LAS NOCHES",IF(H25="Falta indicar los días","LIQUIDACIÓN NO VÁLIDA, FALTA INDICAR LOS DÍAS",IF(AND(C30="",Z25&gt;0),"LIQUIDACIÓN NO VÁLIDA, FALTA INDICAR LA FECHA DESDE",IF(AND(Z25&gt;0,C32=""),"LIQUIDACIÓN NO VÁLIDA, FALTA INDICAR LA FECHA DESDE",IF(OR(F30="Falta indicar la hora",F32="Falta indicar la hora"),"LIQUIDACIÓN NO VÁLIDA, FALTA INDICAR LA HORA",IF(OR(H35="Falta indicar las noches",H36="Falta indicar las noches"),"LIQUIDACIÓN NO VÁLIDA, FALTA INDICAR LAS NOCHES",IF(H39="Falta indicar los días","LIQUIDACIÓN NO VÁLIDA, FALTA INDICAR LOS DÍAS",IF(AND(C41="",Z46&gt;0),"LIQUIDACIÓN NO VÁLIDA, FALTA INDICAR LA FECHA DESDE",IF(AND(C43="",Z46&gt;0),"LIQUIDACIÓN NO VÁLIDA, FALTA INDICAR LA FECHA DESDE",IF(OR(F41="Falta indicar la hora",F43="Falta indicar la hora"),"LIQUIDACIÓN NO VÁLIDA, FALTA INDICAR LA HORA",IF(OR(H46="Falta indicar las noches",H47="Falta indicar las noches"),"LIQUIDACIÓN NO VÁLIDA, FALTA INDICAR LAS NOCHES",IF(H50="Falta indicar los días","LIQUIDACIÓN NO VÁLIDA, FALTA INDICAR LOS DÍAS",IF(AND(C52="",Z66&gt;0),"LIQUIDACIÓN NO VÁLIDA, FALTA INDICAR LA FECHA DESDE",IF(AND(C54="",Z66&gt;0),"LIQUIDACIÓN NO VÁLIDA, FALTA INDICAR LA FECHA DESDE",IF(OR(F52="Falta indicar la hora",F54="Falta indicar la hora"),"LIQUIDACIÓN NO VÁLIDA, FALTA INDICAR LA HORA",IF(OR(H57="Falta indicar las noches",H58="Falta indicar las noches"),"LIQUIDACIÓN NO VÁLIDA, FALTA INDICAR LAS NOCHES",IF(H61="Falta indicar los días","LIQUIDACIÓN NO VÁLIDA, FALTA INDICAR LOS DÍAS",IF(D72="LIQUIDACIÓN NO VÁLIDA, INDIQUE LA MATRICULA","INDIQUE LA MATRÍCULA",IF(C72="ELIJA LA OPCIÓN DEL TRANSPORTE","LIQUIDACIÓN NO VÁLIDA, FALTA INDICAR EL MEDIO DE TRANSPORTE",IF(D73="","LIQUIDACIÓN NO VÁLIDA, FALTA INDICAR LA FECHA DE INICIO DE LA ACTIVIDAD",IF(F73="","LIQUIDACIÓN NO VÁLIDA, FALTA INDICAR LA FECHA DE FIN DE LA ACTIVIDAD",""))))))))))))))))))))))))))))))))))</f>
        <v>ANTES DE COMENZAR DEBE ELEGIR UNA OPCIÓN, MINISTERIO O JUNTA</v>
      </c>
      <c r="E90" s="1547"/>
      <c r="F90" s="1547"/>
      <c r="G90" s="1547"/>
      <c r="H90" s="1547"/>
      <c r="I90" s="1"/>
      <c r="J90" s="180"/>
      <c r="K90" s="180"/>
      <c r="L90" s="15" t="s">
        <v>96</v>
      </c>
      <c r="M90" s="180"/>
      <c r="N90" s="180"/>
      <c r="O90" s="180"/>
      <c r="P90" s="180"/>
      <c r="Q90" s="180"/>
      <c r="R90" s="180"/>
      <c r="W90" s="164" t="str">
        <f>IF(X90="","",C68)</f>
        <v/>
      </c>
      <c r="X90" s="166" t="str">
        <f>IF(D68=0,"",D68)</f>
        <v/>
      </c>
      <c r="Y90" s="15" t="str">
        <f t="shared" ref="Y90:Y99" si="45">IF(X90&lt;&gt;"","€;","")</f>
        <v/>
      </c>
      <c r="Z90" s="1696" t="str">
        <f>IF(X90="","",C68)</f>
        <v/>
      </c>
      <c r="AA90" s="1697"/>
      <c r="AB90" s="164" t="str">
        <f>IF(D68=0,"",D68)</f>
        <v/>
      </c>
      <c r="AC90" s="164">
        <f ca="1">SUMIF($Z$90:$AA$96,AD90,$AB$90:$AB$96)</f>
        <v>0</v>
      </c>
      <c r="AD90" s="15" t="s">
        <v>89</v>
      </c>
      <c r="AE90" s="182">
        <f ca="1">SUMIF($Z$90:$AA$96,AD90,$AB$90:$AB$96)</f>
        <v>0</v>
      </c>
      <c r="AF90" s="168" t="str">
        <f ca="1">IF(AE90&gt;0,AD90&amp;" "&amp;AE90&amp;$Y$90,"")</f>
        <v/>
      </c>
      <c r="AG90" s="15">
        <f ca="1">SUMIF($Z$97:$AA$98,AD90,$AB$97:$AB$98)</f>
        <v>0</v>
      </c>
      <c r="AH90" s="15" t="str">
        <f ca="1">IF(AG90&gt;0,AD90&amp;" "&amp;AG90&amp;$Y$90,"")</f>
        <v/>
      </c>
      <c r="CQ90" s="10"/>
      <c r="CR90" s="10"/>
      <c r="CS90" s="1547"/>
      <c r="CT90" s="1547"/>
      <c r="CU90" s="1547"/>
      <c r="CV90" s="1547"/>
      <c r="CW90" s="1547"/>
    </row>
    <row r="91" spans="1:102" s="10" customFormat="1" ht="13.8" x14ac:dyDescent="0.25">
      <c r="A91" s="1665" t="str">
        <f>IF(D90&lt;&gt;"","",IF(E91&lt;&gt;D9,"","Vº.Bº Responsable del Gasto"))</f>
        <v/>
      </c>
      <c r="B91" s="1665"/>
      <c r="D91" s="12" t="s">
        <v>876</v>
      </c>
      <c r="E91" s="1646" t="str">
        <f>IF(AND(D76="NO",F77&gt;0),"SI NO HA SOLICITADO ANTICIPO NO INSERTE IMPORTE",IF(AND(D76="sí",G77=""),"INSERTE EL Nº DE LA ORDEN DE PAGO",IF(B77&lt;&gt;"","PARA OBTENER LOS CÁLCULOS RESPONDA A LA PREGUNTA",IF(OR(C81="",C81=N80),"ES OBLITORIO RESPONDER A LA PREGUNTA",IF(F88="","PARA OBTENER LOS CÁLCULOS INDIQUE LA FECHA DE LA LIQUIDACIÓN",D9)))))</f>
        <v>PARA OBTENER LOS CÁLCULOS RESPONDA A LA PREGUNTA</v>
      </c>
      <c r="F91" s="1646"/>
      <c r="G91" s="1646"/>
      <c r="H91" s="1646"/>
      <c r="L91" s="15" t="s">
        <v>139</v>
      </c>
      <c r="W91" s="193" t="str">
        <f>IF(X91="","",C69)</f>
        <v/>
      </c>
      <c r="X91" s="194" t="str">
        <f>IF(D69=0,"",D69)</f>
        <v/>
      </c>
      <c r="Y91" s="15" t="str">
        <f t="shared" si="45"/>
        <v/>
      </c>
      <c r="Z91" s="1696" t="str">
        <f>IF(X92="","",C70)</f>
        <v/>
      </c>
      <c r="AA91" s="1697"/>
      <c r="AB91" s="164" t="str">
        <f>IF(D70=0,"",D70)</f>
        <v/>
      </c>
      <c r="AC91" s="164">
        <f t="shared" ref="AC91:AC96" ca="1" si="46">SUMIF($Z$90:$AA$96,AD91,$AB$90:$AB$96)</f>
        <v>0</v>
      </c>
      <c r="AD91" s="15" t="s">
        <v>92</v>
      </c>
      <c r="AE91" s="182">
        <f t="shared" ref="AE91:AE101" ca="1" si="47">SUMIF($Z$90:$AA$96,AD91,$AB$90:$AB$96)</f>
        <v>0</v>
      </c>
      <c r="AF91" s="168" t="str">
        <f ca="1">IF(AE91&gt;0,AD91&amp;" "&amp;AE91&amp;$Y$90,"")</f>
        <v/>
      </c>
      <c r="AG91" s="15">
        <f t="shared" ref="AG91:AG100" ca="1" si="48">SUMIF($Z$97:$AA$98,AD91,$AB$97:$AB$98)</f>
        <v>0</v>
      </c>
      <c r="AH91" s="15" t="str">
        <f t="shared" ref="AH91:AH100" ca="1" si="49">IF(AG91&gt;0,AD91&amp;" "&amp;AG91&amp;$Y$90,"")</f>
        <v/>
      </c>
      <c r="CQ91" s="12" t="str">
        <f>IF($B$94&lt;&gt;"","",A91)</f>
        <v/>
      </c>
      <c r="CS91" s="12" t="str">
        <f>IF($B$94&lt;&gt;"","",D91)</f>
        <v/>
      </c>
      <c r="CT91" s="1646" t="str">
        <f>IF($B$94&lt;&gt;"","",E91)</f>
        <v/>
      </c>
      <c r="CU91" s="1646"/>
      <c r="CV91" s="1646"/>
      <c r="CW91" s="1646"/>
    </row>
    <row r="92" spans="1:102" ht="13.8" x14ac:dyDescent="0.25">
      <c r="A92" s="66" t="str">
        <f>IF(AND(D29="",H78&gt;0),"LIQUIDACIÓN NO VÁLIDA, LOS DATOS MARCADOS CON (*) SON OBLIGATORIOS",IF(AND(H29="",H78&gt;0),"LIQUIDACIÓN NO VÁLIDA, LOS DATOS MARCADOS CON (*) SON OBLIGATORIOS",""))</f>
        <v/>
      </c>
      <c r="B92" s="66"/>
      <c r="C92" s="10"/>
      <c r="D92" s="10"/>
      <c r="E92" s="1519" t="s">
        <v>877</v>
      </c>
      <c r="F92" s="1519"/>
      <c r="G92" s="1519"/>
      <c r="H92" s="1519"/>
      <c r="W92" s="164" t="str">
        <f>IF(X92="","",C70)</f>
        <v/>
      </c>
      <c r="X92" s="166" t="str">
        <f>IF(D70=0,"",D70)</f>
        <v/>
      </c>
      <c r="Y92" s="15" t="str">
        <f t="shared" si="45"/>
        <v/>
      </c>
      <c r="Z92" s="1696" t="str">
        <f>IF(X93="","",C71)</f>
        <v/>
      </c>
      <c r="AA92" s="1697"/>
      <c r="AB92" s="164" t="str">
        <f>IF(D71=0,"",D71)</f>
        <v/>
      </c>
      <c r="AC92" s="164">
        <f t="shared" ca="1" si="46"/>
        <v>0</v>
      </c>
      <c r="AD92" s="15" t="s">
        <v>97</v>
      </c>
      <c r="AE92" s="182">
        <f ca="1">SUMIF($Z$90:$AA$96,AD92,$AB$90:$AB$96)</f>
        <v>0</v>
      </c>
      <c r="AF92" s="168" t="str">
        <f t="shared" ref="AF92:AF101" ca="1" si="50">IF(AE92&gt;0,AD92&amp;" "&amp;AE92&amp;$Y$90,"")</f>
        <v/>
      </c>
      <c r="AG92" s="15">
        <f t="shared" ca="1" si="48"/>
        <v>0</v>
      </c>
      <c r="AH92" s="15" t="str">
        <f t="shared" ca="1" si="49"/>
        <v/>
      </c>
      <c r="CQ92" s="23" t="str">
        <f>IF($B$94&lt;&gt;"","",B92)</f>
        <v/>
      </c>
      <c r="CR92" s="10"/>
      <c r="CS92" s="10"/>
      <c r="CT92" s="1519" t="str">
        <f>IF($B$94&lt;&gt;"","",E92)</f>
        <v/>
      </c>
      <c r="CU92" s="1519"/>
      <c r="CV92" s="1519"/>
      <c r="CW92" s="1519"/>
    </row>
    <row r="93" spans="1:102" x14ac:dyDescent="0.25">
      <c r="A93" s="10"/>
      <c r="B93" s="1675"/>
      <c r="C93" s="1675"/>
      <c r="D93" s="1675"/>
      <c r="E93" s="1675"/>
      <c r="F93" s="10"/>
      <c r="G93" s="10"/>
      <c r="H93" s="10"/>
      <c r="W93" s="164" t="str">
        <f>IF(X93="","",C71)</f>
        <v/>
      </c>
      <c r="X93" s="166" t="str">
        <f>IF(D71=0,"",D71)</f>
        <v/>
      </c>
      <c r="Y93" s="15" t="str">
        <f t="shared" si="45"/>
        <v/>
      </c>
      <c r="Z93" s="1696" t="str">
        <f>IF(X94="","",E68)</f>
        <v/>
      </c>
      <c r="AA93" s="1697"/>
      <c r="AB93" s="164" t="str">
        <f>IF(F68=0,"",F68)</f>
        <v/>
      </c>
      <c r="AC93" s="164">
        <f t="shared" ca="1" si="46"/>
        <v>0</v>
      </c>
      <c r="AD93" s="15" t="s">
        <v>103</v>
      </c>
      <c r="AE93" s="182">
        <f t="shared" ca="1" si="47"/>
        <v>0</v>
      </c>
      <c r="AF93" s="168" t="str">
        <f t="shared" ca="1" si="50"/>
        <v/>
      </c>
      <c r="AG93" s="15">
        <f t="shared" ca="1" si="48"/>
        <v>0</v>
      </c>
      <c r="AH93" s="15" t="str">
        <f t="shared" ca="1" si="49"/>
        <v/>
      </c>
      <c r="CQ93" s="1547"/>
      <c r="CR93" s="1547"/>
      <c r="CS93" s="1547"/>
      <c r="CT93" s="1547"/>
      <c r="CU93" s="10"/>
      <c r="CV93" s="10"/>
      <c r="CW93" s="10"/>
    </row>
    <row r="94" spans="1:102" hidden="1" x14ac:dyDescent="0.25">
      <c r="A94" s="10"/>
      <c r="B94" s="203" t="str">
        <f>IF(B8=K1,K15,IF(D9="","LIQUIDACIÓN NO VÁLIDA, ESCRIBA SU NOMBRE Y APELLIDOS",IF(H9="","LIQUIDACIÓN NO VÁLIDA, FALTA INDICAR EL D.N.I.",IF(C10="","LIQUIDACIÓN NO VÁLIDA, FALTA CUMPLIMENTAR LA VINCULACIÓN CON EL PROYECTO",IF(G10="","LIQUIDACIÓN NO VÁLIDA, FALTA INDICAR CUERPO O ESCALA",IF(C11="","LIQUIDACIÓN NO VÁLIDA, FALTA CUMPLIMENTAR EL MOTIVO DEL VIAJE",IF(C12="","LIQUIDACIÓNNO VÁLIDA, FALTA CUMPLIMENTAR EL ITINERARIO",IF(H12="","LIQUIDACIÓN NO VÁLIDA, FALTA CUMPLIMENTAR EL LUGAR DE DESTINO",IF(D13="","LIQUIDACIÓN NO VÁLIDA, FALTA INDICAR LA FECHA DE INICIO DE LA ACTIVIDAD",IF(F13="","LIQUIDACIÍN NO VÁLIDA, FALTA INDICAR LA FECHA DE FIN DE LA ACTIVIDAD",IF(OR(B15="Falta indicar la hora",B17="Falta indicar la hora"),"LIQUIDACIÓN NO VÁLIDA, FALTA INDICAR LA HORA",IF(AND(L18&lt;&gt;0,C15=""),"LIQUIDACIÓN NO VÁLIDA, FALTA INDICAR LA FECHA DESDE",IF(AND(L18&lt;&gt;0,C17=""),"LIQUIDACIÓN NO VÁLIDA, FALTA INDICAR LA FECHA DESDE",IF(OR(H21="Falta indicar las noches",H22="Falta indicar las noches"),"LIQUIDACIÓN NO VÁLIDA, FALTA INDICAR LAS NOCHES",IF(H25="Falta indicar los días","LIQUIDACIÓN NO VÁLIDA, FALTA INDICAR LOS DÍAS",IF(AND(C30="",Z25&gt;0),"LIQUIDACIÓN NO VÁLIDA, FALTA INDICAR LA FECHA DESDE",IF(AND(Z25&gt;0,C32=""),"LIQUIDACIÓN NO VÁLIDA, FALTA INDICAR LA FECHA DESDE",IF(OR(F30="Falta indicar la hora",F32="Falta indicar la hora"),"LIQUIDACIÓN NO VÁLIDA, FALTA INDICAR LA HORA",IF(OR(H35="Falta indicar las noches",H36="Falta indicar las noches"),"LIQUIDACIÓN NO VÁLIDA, FALTA INDICAR LAS NOCHES",IF(H39="Falta indicar los días","LIQUIDACIÓN NO VÁLIDA, FALTA INDICAR LOS DÍAS",IF(AND(C41="",Z46&gt;0),"LIQUIDACIÓN NO VÁLIDA, FALTA INDICAR LA FECHA DESDE",IF(AND(C43="",Z46&gt;0),"LIQUIDACIÓN NO VÁLIDA, FALTA INDICAR LA FECHA DESDE",IF(OR(F41="Falta indicar la hora",F43="Falta indicar la hora"),"LIQUIDACIÓN NO VÁLIDA, FALTA INDICAR LA HORA",IF(OR(H46="Falta indicar las noches",H47="Falta indicar las noches"),"LIQUIDACIÓN NO VÁLIDA, FALTA INDICAR LAS NOCHES",IF(H50="Falta indicar los días","LIQUIDACIÓN NO VÁLIDA, FALTA INDICAR LOS DÍAS",IF(AND(C52="",Z66&gt;0),"LIQUIDACIÓN NO VÁLIDA, FALTA INDICAR LA FECHA DESDE",IF(AND(C54="",Z66&gt;0),"LIQUIDACIÓN NO VÁLIDA, FALTA INDICAR LA FECHA DESDE",IF(OR(F52="Falta indicar la hora",F54="Falta indicar la hora"),"LIQUIDACIÓN NO VÁLIDA, FALTA INDICAR LA HORA",IF(OR(H57="Falta indicar las noches",H58="Falta indicar las noches"),"LIQUIDACIÓN NO VÁLIDA, FALTA INDICAR LAS NOCHES",IF(H61="Falta indicar los días","LIQUIDACIÓN NO VÁLIDA, FALTA INDICAR LOS DÍAS",IF(D72="LIQUIDACIÓN NO VÁLIDA, INDIQUE LA MATRICULA","INDIQUE LA MATRÍCULA",IF(C72="ELIJA LA OPCIÓN DEL TRANSPORTE","LIQUIDACIÓN NO VÁLIDA, FALTA INDICAR EL MEDIO DE TRANSPORTE",IF(D73="","LIQUIDACIÓN NO VÁLIDA, FALTA INDICAR LA FECHA DE INICIO DE LA ACTIVIDAD",IF(F73="","LIQUIDACIÓN NO VÁLIDA, FALTA INDICAR LA FECHA DE FIN DE LA ACTIVIDAD",IF(AND(D76="NO",F77&gt;0),"SI NO HA SOLICITADO ANTICIPO NO INSERTE IMPORTE",IF(AND(D76="sí",G77=""),"INSERTE EL Nº DE LA ORDEN DE PAGO",IF(B77&lt;&gt;"","PARA OBTENER LOS CÁLCULOS RESPONDA A LA PREGUNTA",IF(C81=N80,"ES OBLITORIO RESPONDER A LA PREGUNTA",IF(AND(C81="SÍ",H82=""),"INDIQUE EL IMPORTE TOTAL QUE DESEA PERCIBIR (EN LA CELDA DE COLOR GRIS)",IF(F88="","PARA OBTENER LOS CÁLCULOS INDIQUE LA FECHA DE LA LIQUIDACIÓN",""))))))))))))))))))))))))))))))))))))))))</f>
        <v>ANTES DE COMENZAR DEBE ELEGIR UNA OPCIÓN, MINISTERIO O JUNTA</v>
      </c>
      <c r="C94" s="203"/>
      <c r="D94" s="203"/>
      <c r="E94" s="203"/>
      <c r="F94" s="203"/>
      <c r="G94" s="203"/>
      <c r="H94" s="203"/>
      <c r="I94" s="204"/>
      <c r="R94" s="181">
        <f ca="1">NOW()</f>
        <v>46287.7731255787</v>
      </c>
      <c r="W94" s="166" t="str">
        <f>IF(X94="","",E68)</f>
        <v/>
      </c>
      <c r="X94" s="166" t="str">
        <f>IF(F68=0,"",F68)</f>
        <v/>
      </c>
      <c r="Y94" s="15" t="str">
        <f t="shared" si="45"/>
        <v/>
      </c>
      <c r="Z94" s="1696" t="str">
        <f>IF(X96="","",E70)</f>
        <v/>
      </c>
      <c r="AA94" s="1697"/>
      <c r="AB94" s="166" t="str">
        <f>IF(F70=0,"",F70)</f>
        <v/>
      </c>
      <c r="AC94" s="164">
        <f t="shared" ca="1" si="46"/>
        <v>0</v>
      </c>
      <c r="AD94" s="15" t="s">
        <v>108</v>
      </c>
      <c r="AE94" s="182">
        <f t="shared" ca="1" si="47"/>
        <v>0</v>
      </c>
      <c r="AF94" s="168" t="str">
        <f t="shared" ca="1" si="50"/>
        <v/>
      </c>
      <c r="AG94" s="15">
        <f t="shared" ca="1" si="48"/>
        <v>0</v>
      </c>
      <c r="AH94" s="15" t="str">
        <f t="shared" ca="1" si="49"/>
        <v/>
      </c>
      <c r="CQ94" s="10"/>
      <c r="CR94" s="10"/>
      <c r="CS94" s="1547"/>
      <c r="CT94" s="1547"/>
      <c r="CU94" s="1547"/>
      <c r="CV94" s="1547"/>
      <c r="CW94" s="1547"/>
    </row>
    <row r="95" spans="1:102" ht="13.2" customHeight="1" x14ac:dyDescent="0.3">
      <c r="A95" s="10"/>
      <c r="B95" s="1682" t="str">
        <f>IF(F88="","",IF(L95=0," En su liquidación de dietas no aparecen gastos de alojamiento. Si hubiera tramitado alguna orden de pago correspondiente a gastos ",""))</f>
        <v/>
      </c>
      <c r="C95" s="1682"/>
      <c r="D95" s="1682"/>
      <c r="E95" s="1682"/>
      <c r="F95" s="1682"/>
      <c r="G95" s="1682"/>
      <c r="H95" s="1682"/>
      <c r="I95" s="1682"/>
      <c r="L95" s="328" t="str">
        <f>IFERROR(G20+G21+G22+G34+G35+G36+G45+G46+G47+G56+G57+G58," ")</f>
        <v xml:space="preserve"> </v>
      </c>
      <c r="W95" s="194" t="str">
        <f>IF(X95="","",E69)</f>
        <v/>
      </c>
      <c r="X95" s="194" t="str">
        <f>IF(F69=0,"",F69)</f>
        <v/>
      </c>
      <c r="Y95" s="15" t="str">
        <f t="shared" si="45"/>
        <v/>
      </c>
      <c r="Z95" s="1696" t="str">
        <f>IF(X97="","",E71)</f>
        <v/>
      </c>
      <c r="AA95" s="1697"/>
      <c r="AB95" s="166" t="str">
        <f>IF(F71=0,"",F71)</f>
        <v/>
      </c>
      <c r="AC95" s="164">
        <f t="shared" ca="1" si="46"/>
        <v>0</v>
      </c>
      <c r="AD95" s="15" t="s">
        <v>112</v>
      </c>
      <c r="AE95" s="182">
        <f t="shared" ca="1" si="47"/>
        <v>0</v>
      </c>
      <c r="AF95" s="168" t="str">
        <f t="shared" ca="1" si="50"/>
        <v/>
      </c>
      <c r="AG95" s="15">
        <f t="shared" ca="1" si="48"/>
        <v>0</v>
      </c>
      <c r="AH95" s="15" t="str">
        <f t="shared" ca="1" si="49"/>
        <v/>
      </c>
      <c r="CQ95" s="10"/>
      <c r="CR95" s="1636"/>
      <c r="CS95" s="1636"/>
      <c r="CT95" s="1636"/>
      <c r="CU95" s="1636"/>
      <c r="CV95" s="1636"/>
      <c r="CW95" s="217"/>
    </row>
    <row r="96" spans="1:102" ht="13.8" x14ac:dyDescent="0.25">
      <c r="A96" s="10"/>
      <c r="B96" s="1682" t="str">
        <f>IF(F88="","",IF(L95=0," de alojamiento para esta actividad debe enviarnos copia de la misma e incluir los gastos de alojamiento en esta liquidación.",""))</f>
        <v/>
      </c>
      <c r="C96" s="1682"/>
      <c r="D96" s="1682"/>
      <c r="E96" s="1682"/>
      <c r="F96" s="1682"/>
      <c r="G96" s="1682"/>
      <c r="H96" s="1682"/>
      <c r="I96" s="1682"/>
      <c r="J96" s="10"/>
      <c r="K96" s="10"/>
      <c r="L96" s="10"/>
      <c r="M96" s="10"/>
      <c r="N96" s="10"/>
      <c r="O96" s="10"/>
      <c r="P96" s="10"/>
      <c r="Q96" s="10"/>
      <c r="R96" s="10"/>
      <c r="W96" s="166" t="str">
        <f>IF(X96="","",E70)</f>
        <v/>
      </c>
      <c r="X96" s="166" t="str">
        <f>IF(F70=0,"",F70)</f>
        <v/>
      </c>
      <c r="Y96" s="15" t="str">
        <f t="shared" si="45"/>
        <v/>
      </c>
      <c r="Z96" s="1696" t="str">
        <f>IF(X98="","","vehículo particular")</f>
        <v/>
      </c>
      <c r="AA96" s="1697"/>
      <c r="AB96" s="166" t="str">
        <f>IF(G67=0,"",G67)</f>
        <v/>
      </c>
      <c r="AC96" s="164">
        <f t="shared" ca="1" si="46"/>
        <v>0</v>
      </c>
      <c r="AD96" s="15" t="s">
        <v>116</v>
      </c>
      <c r="AE96" s="182">
        <f t="shared" ca="1" si="47"/>
        <v>0</v>
      </c>
      <c r="AF96" s="168" t="str">
        <f t="shared" ca="1" si="50"/>
        <v/>
      </c>
      <c r="AG96" s="15">
        <f t="shared" ca="1" si="48"/>
        <v>0</v>
      </c>
      <c r="AH96" s="15" t="str">
        <f t="shared" ca="1" si="49"/>
        <v/>
      </c>
      <c r="CQ96" s="1631"/>
      <c r="CR96" s="1631"/>
      <c r="CS96" s="1631"/>
      <c r="CT96" s="1631"/>
      <c r="CU96" s="1631"/>
      <c r="CV96" s="1631"/>
      <c r="CW96" s="1631"/>
      <c r="CX96" s="1631"/>
    </row>
    <row r="97" spans="2:102" ht="15" customHeight="1" x14ac:dyDescent="0.3">
      <c r="B97" s="1631"/>
      <c r="C97" s="1631"/>
      <c r="D97" s="1631"/>
      <c r="E97" s="1631"/>
      <c r="F97" s="1631"/>
      <c r="G97" s="1631"/>
      <c r="H97" s="214"/>
      <c r="I97" s="9"/>
      <c r="W97" s="166" t="str">
        <f>IF(X97="","",E71)</f>
        <v/>
      </c>
      <c r="X97" s="166" t="str">
        <f>IF(F71=0,"",F71)</f>
        <v/>
      </c>
      <c r="Y97" s="15" t="str">
        <f t="shared" si="45"/>
        <v/>
      </c>
      <c r="Z97" s="1698" t="str">
        <f>IF(X91="","",C69)</f>
        <v/>
      </c>
      <c r="AA97" s="1699"/>
      <c r="AB97" s="195" t="str">
        <f>IF(D69=0,"",D69)</f>
        <v/>
      </c>
      <c r="AC97" s="164"/>
      <c r="AD97" s="15" t="s">
        <v>122</v>
      </c>
      <c r="AE97" s="182">
        <f t="shared" ca="1" si="47"/>
        <v>0</v>
      </c>
      <c r="AF97" s="168" t="str">
        <f t="shared" ca="1" si="50"/>
        <v/>
      </c>
      <c r="AG97" s="15">
        <f t="shared" ca="1" si="48"/>
        <v>0</v>
      </c>
      <c r="AH97" s="15" t="str">
        <f t="shared" ca="1" si="49"/>
        <v/>
      </c>
      <c r="CQ97" s="96"/>
      <c r="CR97" s="96"/>
      <c r="CS97" s="96"/>
      <c r="CT97" s="96"/>
      <c r="CU97" s="96"/>
      <c r="CV97" s="96"/>
      <c r="CW97" s="224"/>
      <c r="CX97" s="96"/>
    </row>
    <row r="98" spans="2:102" ht="13.8" hidden="1" x14ac:dyDescent="0.25">
      <c r="B98" s="1631"/>
      <c r="C98" s="1631"/>
      <c r="D98" s="1631"/>
      <c r="E98" s="1631"/>
      <c r="F98" s="1631"/>
      <c r="G98" s="1631"/>
      <c r="H98" s="1631"/>
      <c r="I98" s="1631"/>
      <c r="W98" s="166" t="str">
        <f>IF(X98="","","vehículo particular")</f>
        <v/>
      </c>
      <c r="X98" s="166" t="str">
        <f>IF(G67=0,"",G67)</f>
        <v/>
      </c>
      <c r="Y98" s="15" t="str">
        <f t="shared" si="45"/>
        <v/>
      </c>
      <c r="Z98" s="1698" t="str">
        <f>IF(X95="","",E69)</f>
        <v/>
      </c>
      <c r="AA98" s="1699"/>
      <c r="AB98" s="195" t="str">
        <f>IF(F69=0,"",F69)</f>
        <v/>
      </c>
      <c r="AC98" s="164"/>
      <c r="AD98" s="15" t="s">
        <v>132</v>
      </c>
      <c r="AE98" s="182">
        <f t="shared" ca="1" si="47"/>
        <v>0</v>
      </c>
      <c r="AF98" s="168" t="str">
        <f t="shared" ca="1" si="50"/>
        <v/>
      </c>
      <c r="AG98" s="15">
        <f t="shared" ca="1" si="48"/>
        <v>0</v>
      </c>
      <c r="AH98" s="15" t="str">
        <f t="shared" ca="1" si="49"/>
        <v/>
      </c>
      <c r="CQ98" s="1631" t="str">
        <f>IF(OR($D$90&lt;&gt;"",$E$91&lt;&gt;$D$9),"","ES OBLIGATORIO PRESENTAR ESTE ANEXO JUNTO CON LA LIQUIDACIÓN DE DIETAS.")</f>
        <v/>
      </c>
      <c r="CR98" s="1631"/>
      <c r="CS98" s="1631"/>
      <c r="CT98" s="1631"/>
      <c r="CU98" s="1631"/>
      <c r="CV98" s="1631"/>
      <c r="CW98" s="1631"/>
      <c r="CX98" s="1631"/>
    </row>
    <row r="99" spans="2:102" hidden="1" x14ac:dyDescent="0.25">
      <c r="W99" s="15" t="s">
        <v>835</v>
      </c>
      <c r="X99" s="182">
        <f>SUM(X90:X98)</f>
        <v>0</v>
      </c>
      <c r="Y99" s="15" t="str">
        <f t="shared" si="45"/>
        <v>€;</v>
      </c>
      <c r="Z99" s="1696" t="s">
        <v>589</v>
      </c>
      <c r="AA99" s="1697"/>
      <c r="AB99" s="166">
        <f>SUM(AB97:AB98)</f>
        <v>0</v>
      </c>
      <c r="AC99" s="166">
        <f ca="1">SUM(AC90:AC96)</f>
        <v>0</v>
      </c>
      <c r="AD99" s="15" t="s">
        <v>96</v>
      </c>
      <c r="AE99" s="182">
        <f t="shared" ca="1" si="47"/>
        <v>0</v>
      </c>
      <c r="AF99" s="168" t="str">
        <f t="shared" ca="1" si="50"/>
        <v/>
      </c>
      <c r="AG99" s="15">
        <f t="shared" ca="1" si="48"/>
        <v>0</v>
      </c>
      <c r="AH99" s="15" t="str">
        <f t="shared" ca="1" si="49"/>
        <v/>
      </c>
    </row>
    <row r="100" spans="2:102" ht="16.2" hidden="1" customHeight="1" x14ac:dyDescent="0.25">
      <c r="C100" s="15"/>
      <c r="D100" s="1701"/>
      <c r="E100" s="1695"/>
      <c r="F100" s="1695"/>
      <c r="W100" s="15" t="str">
        <f>IF(X98&lt;&gt;0,W90 &amp; " " &amp;W91 &amp;" " &amp; W92 &amp;" " &amp; W93 &amp; " "&amp;W94  &amp; " "&amp;W95  &amp; " "&amp;W96 &amp; " " &amp;W97&amp; " "&amp;W98,"")</f>
        <v xml:space="preserve">        </v>
      </c>
      <c r="X100" s="15"/>
      <c r="Y100" s="15"/>
      <c r="Z100" s="15"/>
      <c r="AA100" s="15"/>
      <c r="AB100" s="15"/>
      <c r="AC100" s="15"/>
      <c r="AD100" s="15" t="s">
        <v>139</v>
      </c>
      <c r="AE100" s="182">
        <f t="shared" ca="1" si="47"/>
        <v>0</v>
      </c>
      <c r="AF100" s="168" t="str">
        <f t="shared" ca="1" si="50"/>
        <v/>
      </c>
      <c r="AG100" s="15">
        <f t="shared" ca="1" si="48"/>
        <v>0</v>
      </c>
      <c r="AH100" s="15" t="str">
        <f t="shared" ca="1" si="49"/>
        <v/>
      </c>
      <c r="CS100" s="1632"/>
      <c r="CT100" s="1633"/>
      <c r="CU100" s="1633"/>
    </row>
    <row r="101" spans="2:102" hidden="1" x14ac:dyDescent="0.25">
      <c r="B101" s="137"/>
      <c r="C101" s="137"/>
      <c r="D101" s="137"/>
      <c r="E101" s="137"/>
      <c r="F101" s="137"/>
      <c r="G101" s="137"/>
      <c r="H101" s="303" t="s">
        <v>878</v>
      </c>
      <c r="I101" s="137"/>
      <c r="W101" s="1519" t="str">
        <f>IF(X99&lt;&gt;0,W90 &amp;" "  &amp; X90&amp;Y90&amp;" " &amp;W91 &amp;" " &amp;X91&amp;Y91&amp;"  " &amp; W92 &amp;" "&amp;X92&amp;Y92&amp;"  " &amp; W93&amp; X93&amp;Y93&amp;"  "&amp;W94  &amp; X94&amp;Y94&amp;"  "&amp; W95  &amp; X95&amp;Y95&amp;" "&amp; W96 &amp;X96&amp;Y96&amp; " " &amp;W97&amp; X97&amp;Y97&amp;" " &amp;W98&amp;X98&amp;Y98,"")</f>
        <v/>
      </c>
      <c r="X101" s="1519"/>
      <c r="Y101" s="1519"/>
      <c r="Z101" s="1519"/>
      <c r="AA101" s="1519"/>
      <c r="AB101" s="1519"/>
      <c r="AC101" s="15"/>
      <c r="AD101" s="15" t="s">
        <v>879</v>
      </c>
      <c r="AE101" s="182">
        <f t="shared" ca="1" si="47"/>
        <v>0</v>
      </c>
      <c r="AF101" s="168" t="str">
        <f t="shared" ca="1" si="50"/>
        <v/>
      </c>
      <c r="CW101" s="6" t="str">
        <f>IF(OR($D$90&lt;&gt;"",$E$91&lt;&gt;$D$9),"","Hoja para la grabación.")</f>
        <v/>
      </c>
    </row>
    <row r="102" spans="2:102" hidden="1" x14ac:dyDescent="0.25">
      <c r="B102" s="137"/>
      <c r="C102" s="137"/>
      <c r="D102" s="137"/>
      <c r="E102" s="137"/>
      <c r="F102" s="137"/>
      <c r="G102" s="137"/>
      <c r="H102" s="303" t="s">
        <v>880</v>
      </c>
      <c r="I102" s="137"/>
      <c r="X102" s="15"/>
      <c r="Y102" s="15"/>
      <c r="Z102" s="15"/>
      <c r="AA102" s="15"/>
      <c r="AB102" s="15"/>
      <c r="AC102" s="15"/>
      <c r="AD102" s="15"/>
      <c r="AF102" s="15" t="str">
        <f ca="1">IF(AC99&gt;0,AF90&amp;""&amp;AF91&amp;""&amp;AF92&amp;""&amp;AF93&amp;""&amp;AF94&amp;""&amp;AF95&amp;""&amp;AF96&amp;""&amp;AF97&amp;""&amp;AF98&amp;""&amp;AF99&amp;""&amp;AF100&amp;""&amp;AF101&amp;AD89,"""")</f>
        <v>"</v>
      </c>
      <c r="CW102" s="6" t="str">
        <f>IF(OR($D$90&lt;&gt;"",$E$91&lt;&gt;$D$9),"","Adjunte esta hoja.")</f>
        <v/>
      </c>
    </row>
    <row r="103" spans="2:102" hidden="1" x14ac:dyDescent="0.25">
      <c r="B103" s="137"/>
      <c r="C103" s="137"/>
      <c r="D103" s="137"/>
      <c r="E103" s="137"/>
      <c r="F103" s="137"/>
      <c r="G103" s="137"/>
      <c r="H103" s="137"/>
      <c r="I103" s="137"/>
      <c r="W103" s="15" t="s">
        <v>881</v>
      </c>
      <c r="X103" s="169">
        <f>SUM(F74:F75)</f>
        <v>0</v>
      </c>
      <c r="Y103" s="15"/>
      <c r="Z103" s="15"/>
      <c r="AA103" s="15"/>
      <c r="AB103" s="15"/>
      <c r="AC103" s="15"/>
      <c r="AD103" s="15"/>
      <c r="AF103" s="241" t="str">
        <f>IF(AB99&gt;0,AH90&amp;""&amp;AH91&amp;""&amp;AH92&amp;""&amp;AH93&amp;""&amp;AH95&amp;""&amp;AH96&amp;""&amp;AH97&amp;""&amp;AH98&amp;""&amp;AH99&amp;""&amp;AH100,"")</f>
        <v/>
      </c>
    </row>
    <row r="104" spans="2:102" ht="15" hidden="1" customHeight="1" x14ac:dyDescent="0.25">
      <c r="B104" s="304" t="s">
        <v>882</v>
      </c>
      <c r="C104" s="1671">
        <f>D9</f>
        <v>0</v>
      </c>
      <c r="D104" s="1672"/>
      <c r="E104" s="1672"/>
      <c r="F104" s="1672"/>
      <c r="G104" s="1672"/>
      <c r="H104" s="1672"/>
      <c r="I104" s="1673"/>
      <c r="J104" s="67"/>
      <c r="K104" s="67"/>
      <c r="L104" s="67"/>
      <c r="M104" s="67"/>
      <c r="N104" s="67"/>
      <c r="O104" s="67"/>
      <c r="P104" s="67"/>
      <c r="Q104" s="67"/>
      <c r="R104" s="67"/>
      <c r="S104" s="67"/>
      <c r="T104" s="67"/>
      <c r="U104" s="67"/>
      <c r="V104" s="67"/>
      <c r="W104" s="67"/>
      <c r="CQ104" s="215" t="str">
        <f>IF(OR($D$90&lt;&gt;"",$E$91&lt;&gt;$D$9),"",B104)</f>
        <v/>
      </c>
      <c r="CR104" s="1626" t="str">
        <f>IF(OR($D$90&lt;&gt;"",$E$91&lt;&gt;$D$9),"",C104)</f>
        <v/>
      </c>
      <c r="CS104" s="1595"/>
      <c r="CT104" s="1595"/>
      <c r="CU104" s="1595"/>
      <c r="CV104" s="1595"/>
      <c r="CW104" s="1595"/>
      <c r="CX104" s="1627"/>
    </row>
    <row r="105" spans="2:102" ht="15" hidden="1" customHeight="1" x14ac:dyDescent="0.25">
      <c r="B105" s="305"/>
      <c r="C105" s="306"/>
      <c r="D105" s="306"/>
      <c r="E105" s="306"/>
      <c r="F105" s="306"/>
      <c r="G105" s="306"/>
      <c r="H105" s="306"/>
      <c r="I105" s="306"/>
      <c r="J105" s="67"/>
      <c r="K105" s="67"/>
      <c r="L105" s="67"/>
      <c r="M105" s="67"/>
      <c r="N105" s="67"/>
      <c r="O105" s="67"/>
      <c r="P105" s="67"/>
      <c r="Q105" s="67"/>
      <c r="R105" s="67"/>
      <c r="S105" s="67"/>
      <c r="T105" s="67"/>
      <c r="U105" s="67"/>
      <c r="V105" s="67"/>
      <c r="W105" s="67" t="s">
        <v>589</v>
      </c>
      <c r="X105" s="153">
        <f>X99</f>
        <v>0</v>
      </c>
      <c r="Y105" s="67" t="s">
        <v>883</v>
      </c>
      <c r="CQ105" s="29"/>
      <c r="CR105" s="78"/>
      <c r="CS105" s="78"/>
      <c r="CT105" s="78"/>
      <c r="CU105" s="78"/>
      <c r="CV105" s="78"/>
      <c r="CW105" s="78"/>
      <c r="CX105" s="78"/>
    </row>
    <row r="106" spans="2:102" ht="15" hidden="1" customHeight="1" x14ac:dyDescent="0.25">
      <c r="B106" s="304" t="s">
        <v>42</v>
      </c>
      <c r="C106" s="1671">
        <f>C10</f>
        <v>0</v>
      </c>
      <c r="D106" s="1672"/>
      <c r="E106" s="1672"/>
      <c r="F106" s="1672"/>
      <c r="G106" s="1672"/>
      <c r="H106" s="1672"/>
      <c r="I106" s="1673"/>
      <c r="J106" s="67"/>
      <c r="K106" s="67"/>
      <c r="L106" s="67"/>
      <c r="M106" s="67"/>
      <c r="N106" s="67"/>
      <c r="O106" s="67"/>
      <c r="P106" s="67"/>
      <c r="Q106" s="67"/>
      <c r="R106" s="67"/>
      <c r="S106" s="67"/>
      <c r="T106" s="67"/>
      <c r="U106" s="67"/>
      <c r="V106" s="67"/>
      <c r="W106" s="67" t="s">
        <v>884</v>
      </c>
      <c r="X106" s="158">
        <f>X6+X27+X47+X67</f>
        <v>0</v>
      </c>
      <c r="Y106" s="67" t="s">
        <v>883</v>
      </c>
      <c r="CQ106" s="215" t="str">
        <f t="shared" ref="CQ106:CR110" si="51">IF(OR($D$90&lt;&gt;"",$E$91&lt;&gt;$D$9),"",B106)</f>
        <v/>
      </c>
      <c r="CR106" s="1626" t="str">
        <f t="shared" si="51"/>
        <v/>
      </c>
      <c r="CS106" s="1595"/>
      <c r="CT106" s="1595"/>
      <c r="CU106" s="1595"/>
      <c r="CV106" s="1595"/>
      <c r="CW106" s="1595"/>
      <c r="CX106" s="1627"/>
    </row>
    <row r="107" spans="2:102" ht="15" hidden="1" customHeight="1" x14ac:dyDescent="0.25">
      <c r="B107" s="304" t="s">
        <v>885</v>
      </c>
      <c r="C107" s="1671">
        <f>C12</f>
        <v>0</v>
      </c>
      <c r="D107" s="1672"/>
      <c r="E107" s="1672"/>
      <c r="F107" s="1672"/>
      <c r="G107" s="1672"/>
      <c r="H107" s="1672"/>
      <c r="I107" s="1673"/>
      <c r="J107" s="67"/>
      <c r="K107" s="67"/>
      <c r="L107" s="67"/>
      <c r="M107" s="67"/>
      <c r="N107" s="67"/>
      <c r="O107" s="67"/>
      <c r="P107" s="67"/>
      <c r="Q107" s="67"/>
      <c r="R107" s="67"/>
      <c r="S107" s="67"/>
      <c r="T107" s="67"/>
      <c r="U107" s="67"/>
      <c r="V107" s="67"/>
      <c r="W107" s="67" t="s">
        <v>886</v>
      </c>
      <c r="X107" s="158">
        <f>X14+X35+X55+X75</f>
        <v>0</v>
      </c>
      <c r="Y107" s="67" t="s">
        <v>883</v>
      </c>
      <c r="CQ107" s="215" t="str">
        <f t="shared" si="51"/>
        <v/>
      </c>
      <c r="CR107" s="1626" t="str">
        <f t="shared" si="51"/>
        <v/>
      </c>
      <c r="CS107" s="1595"/>
      <c r="CT107" s="1595"/>
      <c r="CU107" s="1595"/>
      <c r="CV107" s="1595"/>
      <c r="CW107" s="1595"/>
      <c r="CX107" s="1627"/>
    </row>
    <row r="108" spans="2:102" ht="15" hidden="1" customHeight="1" x14ac:dyDescent="0.25">
      <c r="B108" s="304" t="s">
        <v>887</v>
      </c>
      <c r="C108" s="1671">
        <f>H12</f>
        <v>0</v>
      </c>
      <c r="D108" s="1672"/>
      <c r="E108" s="1672"/>
      <c r="F108" s="1672"/>
      <c r="G108" s="1672"/>
      <c r="H108" s="1672"/>
      <c r="I108" s="1673"/>
      <c r="J108" s="67"/>
      <c r="K108" s="67"/>
      <c r="L108" s="67"/>
      <c r="M108" s="67"/>
      <c r="N108" s="67"/>
      <c r="O108" s="67"/>
      <c r="P108" s="67"/>
      <c r="Q108" s="67"/>
      <c r="R108" s="67"/>
      <c r="S108" s="67"/>
      <c r="T108" s="67"/>
      <c r="U108" s="67"/>
      <c r="V108" s="67"/>
      <c r="W108" s="67" t="s">
        <v>888</v>
      </c>
      <c r="X108" s="153">
        <f>SUM(X105:X107)</f>
        <v>0</v>
      </c>
      <c r="Y108" s="67" t="s">
        <v>883</v>
      </c>
      <c r="CQ108" s="215" t="str">
        <f t="shared" si="51"/>
        <v/>
      </c>
      <c r="CR108" s="1626" t="str">
        <f t="shared" si="51"/>
        <v/>
      </c>
      <c r="CS108" s="1595"/>
      <c r="CT108" s="1627"/>
      <c r="CU108" s="1619" t="str">
        <f>IF(OR($D$90&lt;&gt;"",$E$91&lt;&gt;$D$9),"",W26&amp;" "&amp;W46&amp;" "&amp;W66)</f>
        <v/>
      </c>
      <c r="CV108" s="1620"/>
      <c r="CW108" s="1620"/>
      <c r="CX108" s="1621"/>
    </row>
    <row r="109" spans="2:102" ht="15" hidden="1" customHeight="1" x14ac:dyDescent="0.25">
      <c r="B109" s="304" t="s">
        <v>889</v>
      </c>
      <c r="C109" s="1671">
        <f>C11</f>
        <v>0</v>
      </c>
      <c r="D109" s="1672"/>
      <c r="E109" s="1672"/>
      <c r="F109" s="1672"/>
      <c r="G109" s="1672"/>
      <c r="H109" s="1672"/>
      <c r="I109" s="1673"/>
      <c r="J109" s="67"/>
      <c r="K109" s="67"/>
      <c r="L109" s="67"/>
      <c r="M109" s="67"/>
      <c r="N109" s="67"/>
      <c r="O109" s="67"/>
      <c r="P109" s="67"/>
      <c r="Q109" s="67"/>
      <c r="R109" s="67"/>
      <c r="S109" s="67"/>
      <c r="T109" s="67"/>
      <c r="U109" s="67"/>
      <c r="V109" s="67"/>
      <c r="W109" s="67"/>
      <c r="CQ109" s="215" t="str">
        <f t="shared" si="51"/>
        <v/>
      </c>
      <c r="CR109" s="1626" t="str">
        <f t="shared" si="51"/>
        <v/>
      </c>
      <c r="CS109" s="1595"/>
      <c r="CT109" s="1595"/>
      <c r="CU109" s="1595"/>
      <c r="CV109" s="1595"/>
      <c r="CW109" s="1595"/>
      <c r="CX109" s="1627"/>
    </row>
    <row r="110" spans="2:102" ht="15" hidden="1" customHeight="1" x14ac:dyDescent="0.25">
      <c r="B110" s="1669" t="s">
        <v>890</v>
      </c>
      <c r="C110" s="1661" t="str">
        <f>X3</f>
        <v xml:space="preserve">T. Nacional: del  al     -T. Extranjero  del    al      del    al      del    al  </v>
      </c>
      <c r="D110" s="1661"/>
      <c r="E110" s="1661"/>
      <c r="F110" s="1661"/>
      <c r="G110" s="1661"/>
      <c r="H110" s="1661"/>
      <c r="I110" s="1661"/>
      <c r="J110" s="67"/>
      <c r="K110" s="67"/>
      <c r="L110" s="67"/>
      <c r="M110" s="67"/>
      <c r="N110" s="67"/>
      <c r="O110" s="67"/>
      <c r="P110" s="67"/>
      <c r="Q110" s="67"/>
      <c r="R110" s="67"/>
      <c r="S110" s="67"/>
      <c r="T110" s="67"/>
      <c r="U110" s="67"/>
      <c r="V110" s="67"/>
      <c r="W110" s="162" t="str">
        <f>X108&amp;Y108&amp;" " &amp;W108&amp; " "  &amp;W105&amp; " " &amp;X105&amp;Y105&amp; " " &amp;W106&amp; " " &amp;X106&amp;Y106&amp; " " &amp;W107&amp; " " &amp;X107&amp;Y107</f>
        <v>0€ Desglosado en: TOTAL LOCOMOCION 0€ TOTAL ALOJAMIENTO 0€ TOTAL MANUTENCIÓN 0€</v>
      </c>
      <c r="X110" s="162"/>
      <c r="Y110" s="162"/>
      <c r="Z110" s="162"/>
      <c r="AA110" s="162"/>
      <c r="AB110" s="162"/>
      <c r="AC110" s="162"/>
      <c r="AD110" s="162"/>
      <c r="AE110" s="78"/>
      <c r="AF110" s="78"/>
      <c r="AG110" s="78"/>
      <c r="AH110" s="78"/>
      <c r="AI110" s="78"/>
      <c r="AJ110" s="78"/>
      <c r="AK110" s="78"/>
      <c r="AL110" s="78"/>
      <c r="AM110" s="78"/>
      <c r="AN110" s="78"/>
      <c r="CQ110" s="1583" t="str">
        <f t="shared" si="51"/>
        <v/>
      </c>
      <c r="CR110" s="1629" t="str">
        <f t="shared" si="51"/>
        <v/>
      </c>
      <c r="CS110" s="1629"/>
      <c r="CT110" s="1629"/>
      <c r="CU110" s="1629"/>
      <c r="CV110" s="1629"/>
      <c r="CW110" s="1629"/>
      <c r="CX110" s="1629"/>
    </row>
    <row r="111" spans="2:102" ht="15" hidden="1" customHeight="1" thickBot="1" x14ac:dyDescent="0.3">
      <c r="B111" s="1670"/>
      <c r="C111" s="1661"/>
      <c r="D111" s="1661"/>
      <c r="E111" s="1661"/>
      <c r="F111" s="1661"/>
      <c r="G111" s="1661"/>
      <c r="H111" s="1661"/>
      <c r="I111" s="1661"/>
      <c r="J111" s="67"/>
      <c r="K111" s="67"/>
      <c r="L111" s="67"/>
      <c r="M111" s="67"/>
      <c r="N111" s="67"/>
      <c r="O111" s="67"/>
      <c r="P111" s="67"/>
      <c r="Q111" s="67"/>
      <c r="R111" s="67"/>
      <c r="S111" s="67"/>
      <c r="T111" s="67"/>
      <c r="U111" s="67"/>
      <c r="V111" s="67"/>
      <c r="W111" s="67"/>
      <c r="CQ111" s="1628"/>
      <c r="CR111" s="1630"/>
      <c r="CS111" s="1630"/>
      <c r="CT111" s="1630"/>
      <c r="CU111" s="1630"/>
      <c r="CV111" s="1630"/>
      <c r="CW111" s="1630"/>
      <c r="CX111" s="1630"/>
    </row>
    <row r="112" spans="2:102" ht="15" hidden="1" customHeight="1" thickTop="1" x14ac:dyDescent="0.25">
      <c r="B112" s="307"/>
      <c r="C112" s="308"/>
      <c r="D112" s="309"/>
      <c r="E112" s="309"/>
      <c r="F112" s="309"/>
      <c r="G112" s="309"/>
      <c r="H112" s="309"/>
      <c r="I112" s="310"/>
      <c r="J112" s="67"/>
      <c r="K112" s="67"/>
      <c r="L112" s="67"/>
      <c r="M112" s="67"/>
      <c r="N112" s="67"/>
      <c r="O112" s="67"/>
      <c r="P112" s="67"/>
      <c r="Q112" s="67"/>
      <c r="R112" s="67"/>
      <c r="S112" s="67"/>
      <c r="T112" s="67"/>
      <c r="U112" s="67"/>
      <c r="V112" s="67"/>
      <c r="W112" s="67"/>
      <c r="CQ112" s="269"/>
      <c r="CR112" s="1755"/>
      <c r="CS112" s="1756"/>
      <c r="CT112" s="1756"/>
      <c r="CU112" s="1756"/>
      <c r="CV112" s="1756"/>
      <c r="CW112" s="1757"/>
      <c r="CX112" s="270" t="str">
        <f>IF(OR($D$90&lt;&gt;"",$E$91&lt;&gt;$D$9),"","Otra Ayuda")</f>
        <v/>
      </c>
    </row>
    <row r="113" spans="2:102" ht="15" hidden="1" customHeight="1" x14ac:dyDescent="0.25">
      <c r="B113" s="1736" t="s">
        <v>891</v>
      </c>
      <c r="C113" s="1671" t="str">
        <f>AD10</f>
        <v/>
      </c>
      <c r="D113" s="1672"/>
      <c r="E113" s="1672"/>
      <c r="F113" s="1672"/>
      <c r="G113" s="1672"/>
      <c r="H113" s="1672"/>
      <c r="I113" s="1673"/>
      <c r="J113" s="67"/>
      <c r="K113" s="67"/>
      <c r="L113" s="67"/>
      <c r="M113" s="67"/>
      <c r="N113" s="67"/>
      <c r="O113" s="67"/>
      <c r="P113" s="67"/>
      <c r="Q113" s="67"/>
      <c r="R113" s="67"/>
      <c r="S113" s="67"/>
      <c r="T113" s="67"/>
      <c r="U113" s="67"/>
      <c r="V113" s="67"/>
      <c r="W113" s="67"/>
      <c r="CQ113" s="1616" t="str">
        <f>IF(OR($D$90&lt;&gt;"",$E$91&lt;&gt;$D$9),"","ALOJAMIENTOS ")</f>
        <v/>
      </c>
      <c r="CR113" s="1752" t="str">
        <f>IF(OR($D$90&lt;&gt;"",$E$91&lt;&gt;$D$9),"",CS135)</f>
        <v/>
      </c>
      <c r="CS113" s="1753"/>
      <c r="CT113" s="1753"/>
      <c r="CU113" s="1753"/>
      <c r="CV113" s="1753"/>
      <c r="CW113" s="1754"/>
      <c r="CX113" s="271" t="str">
        <f>IF(OR($D$90&lt;&gt;"",$E$91&lt;&gt;$D$9),"",IF(L21&lt;0,"",L21))</f>
        <v/>
      </c>
    </row>
    <row r="114" spans="2:102" ht="15" hidden="1" customHeight="1" x14ac:dyDescent="0.25">
      <c r="B114" s="1737"/>
      <c r="C114" s="1671" t="str">
        <f>AD28&amp;" "&amp;AD29</f>
        <v xml:space="preserve">  0 noche a €/N €; </v>
      </c>
      <c r="D114" s="1672"/>
      <c r="E114" s="1672"/>
      <c r="F114" s="1672"/>
      <c r="G114" s="1672"/>
      <c r="H114" s="1672"/>
      <c r="I114" s="1673"/>
      <c r="J114" s="67"/>
      <c r="K114" s="67"/>
      <c r="L114" s="67"/>
      <c r="M114" s="67"/>
      <c r="N114" s="67"/>
      <c r="O114" s="67"/>
      <c r="P114" s="67"/>
      <c r="Q114" s="67"/>
      <c r="R114" s="67"/>
      <c r="S114" s="67"/>
      <c r="T114" s="67"/>
      <c r="U114" s="67"/>
      <c r="V114" s="67"/>
      <c r="W114" s="67"/>
      <c r="CQ114" s="1617"/>
      <c r="CR114" s="1752" t="str">
        <f>IF(OR($D$90&lt;&gt;"",$E$91&lt;&gt;$D$9),"",CS138)</f>
        <v/>
      </c>
      <c r="CS114" s="1753"/>
      <c r="CT114" s="1753"/>
      <c r="CU114" s="1753"/>
      <c r="CV114" s="1753"/>
      <c r="CW114" s="1754"/>
      <c r="CX114" s="271" t="str">
        <f>IF(OR($D$90&lt;&gt;"",$E$91&lt;&gt;$D$9),"",IF(L36&lt;0,"",L36))</f>
        <v/>
      </c>
    </row>
    <row r="115" spans="2:102" ht="15" hidden="1" customHeight="1" x14ac:dyDescent="0.25">
      <c r="B115" s="1738" t="e">
        <f>SUM(AC7+AC8+AC28+AC29+AC48+AC49+AC68+AC69)</f>
        <v>#VALUE!</v>
      </c>
      <c r="C115" s="1671" t="str">
        <f>AD48&amp;" "&amp;AD49</f>
        <v xml:space="preserve">  0 noche a €/N €; </v>
      </c>
      <c r="D115" s="1672"/>
      <c r="E115" s="1672"/>
      <c r="F115" s="1672"/>
      <c r="G115" s="1672"/>
      <c r="H115" s="1672"/>
      <c r="I115" s="1673"/>
      <c r="J115" s="67"/>
      <c r="K115" s="67"/>
      <c r="L115" s="67"/>
      <c r="M115" s="67"/>
      <c r="N115" s="67"/>
      <c r="O115" s="67"/>
      <c r="P115" s="67"/>
      <c r="Q115" s="67"/>
      <c r="R115" s="67"/>
      <c r="S115" s="67"/>
      <c r="T115" s="67"/>
      <c r="U115" s="67"/>
      <c r="V115" s="67"/>
      <c r="W115" s="67"/>
      <c r="CQ115" s="1617"/>
      <c r="CR115" s="1752" t="str">
        <f>IF(OR($D$90&lt;&gt;"",$E$91&lt;&gt;$D$9),"",AD49)</f>
        <v/>
      </c>
      <c r="CS115" s="1753"/>
      <c r="CT115" s="1753"/>
      <c r="CU115" s="1753"/>
      <c r="CV115" s="1753"/>
      <c r="CW115" s="1754"/>
      <c r="CX115" s="271" t="str">
        <f>IF(OR($D$90&lt;&gt;"",$E$91&lt;&gt;$D$9),"",IF(L49&lt;0,"",L49))</f>
        <v/>
      </c>
    </row>
    <row r="116" spans="2:102" ht="15" hidden="1" customHeight="1" thickBot="1" x14ac:dyDescent="0.3">
      <c r="B116" s="1739"/>
      <c r="C116" s="1671" t="str">
        <f>AD68&amp;" "&amp;AD69</f>
        <v xml:space="preserve"> 0 noche a  €/N €; </v>
      </c>
      <c r="D116" s="1672"/>
      <c r="E116" s="1672"/>
      <c r="F116" s="1672"/>
      <c r="G116" s="1672"/>
      <c r="H116" s="1672"/>
      <c r="I116" s="1673"/>
      <c r="J116" s="67"/>
      <c r="K116" s="67"/>
      <c r="L116" s="67"/>
      <c r="M116" s="67"/>
      <c r="N116" s="67"/>
      <c r="O116" s="67"/>
      <c r="P116" s="67"/>
      <c r="Q116" s="67"/>
      <c r="R116" s="67"/>
      <c r="S116" s="67"/>
      <c r="T116" s="67"/>
      <c r="U116" s="67"/>
      <c r="V116" s="67"/>
      <c r="W116" s="67"/>
      <c r="CQ116" s="1618"/>
      <c r="CR116" s="1758" t="str">
        <f>IF(OR($D$90&lt;&gt;"",$E$91&lt;&gt;$D$9),"",AD69)</f>
        <v/>
      </c>
      <c r="CS116" s="1759"/>
      <c r="CT116" s="1759"/>
      <c r="CU116" s="1759"/>
      <c r="CV116" s="1759"/>
      <c r="CW116" s="1760"/>
      <c r="CX116" s="272" t="str">
        <f>IF(OR($D$90&lt;&gt;"",$E$91&lt;&gt;$D$9),"",IF(L58&lt;0,"",L58))</f>
        <v/>
      </c>
    </row>
    <row r="117" spans="2:102" ht="15" hidden="1" customHeight="1" thickTop="1" x14ac:dyDescent="0.25">
      <c r="B117" s="1736" t="s">
        <v>892</v>
      </c>
      <c r="C117" s="1657" t="str">
        <f>AD9</f>
        <v/>
      </c>
      <c r="D117" s="1745"/>
      <c r="E117" s="1745"/>
      <c r="F117" s="1745"/>
      <c r="G117" s="1745"/>
      <c r="H117" s="1745"/>
      <c r="I117" s="1745"/>
      <c r="J117" s="67"/>
      <c r="K117" s="67"/>
      <c r="L117" s="67"/>
      <c r="M117" s="67"/>
      <c r="N117" s="67"/>
      <c r="O117" s="67"/>
      <c r="P117" s="67"/>
      <c r="Q117" s="67"/>
      <c r="R117" s="67"/>
      <c r="S117" s="67"/>
      <c r="T117" s="67"/>
      <c r="U117" s="67"/>
      <c r="V117" s="67"/>
      <c r="W117" s="67"/>
      <c r="CQ117" s="1622" t="str">
        <f>IF(OR($D$90&lt;&gt;"",$E$91&lt;&gt;$D$9),"","ALOJAMIENTOS PAGOS A TERCEROS")</f>
        <v/>
      </c>
      <c r="CR117" s="1761" t="str">
        <f>IF(OR($D$90&lt;&gt;"",$E$91&lt;&gt;$D$9),"",AD9)</f>
        <v/>
      </c>
      <c r="CS117" s="1761"/>
      <c r="CT117" s="1761"/>
      <c r="CU117" s="1761"/>
      <c r="CV117" s="1761"/>
      <c r="CW117" s="1761"/>
      <c r="CX117" s="274" t="str">
        <f>IF(OR($D$90&lt;&gt;"",$E$91&lt;&gt;$D$9),"",IF(L22&lt;0,"",L22))</f>
        <v/>
      </c>
    </row>
    <row r="118" spans="2:102" ht="15" hidden="1" customHeight="1" x14ac:dyDescent="0.25">
      <c r="B118" s="1737"/>
      <c r="C118" s="1656" t="str">
        <f>AD30</f>
        <v/>
      </c>
      <c r="D118" s="1656"/>
      <c r="E118" s="1656"/>
      <c r="F118" s="1656"/>
      <c r="G118" s="1656"/>
      <c r="H118" s="1656"/>
      <c r="I118" s="1657"/>
      <c r="J118" s="67"/>
      <c r="K118" s="67"/>
      <c r="L118" s="67"/>
      <c r="M118" s="67"/>
      <c r="N118" s="67"/>
      <c r="O118" s="67"/>
      <c r="P118" s="67"/>
      <c r="Q118" s="67"/>
      <c r="R118" s="67"/>
      <c r="S118" s="67"/>
      <c r="T118" s="67"/>
      <c r="U118" s="67"/>
      <c r="V118" s="67"/>
      <c r="W118" s="67"/>
      <c r="CQ118" s="1623"/>
      <c r="CR118" s="1746" t="str">
        <f>IF(OR($D$90&lt;&gt;"",$E$91&lt;&gt;$D$9),"",AD30)</f>
        <v/>
      </c>
      <c r="CS118" s="1746"/>
      <c r="CT118" s="1746"/>
      <c r="CU118" s="1746"/>
      <c r="CV118" s="1746"/>
      <c r="CW118" s="1746"/>
      <c r="CX118" s="275" t="str">
        <f>IF(OR($D$90&lt;&gt;"",$E$91&lt;&gt;$D$9),"",IF(L37&lt;0,"",L37))</f>
        <v/>
      </c>
    </row>
    <row r="119" spans="2:102" ht="15" hidden="1" customHeight="1" x14ac:dyDescent="0.25">
      <c r="B119" s="1738">
        <f>SUM(AC9+AC30+AC50+AC70)</f>
        <v>0</v>
      </c>
      <c r="C119" s="1656" t="str">
        <f>AD50</f>
        <v/>
      </c>
      <c r="D119" s="1656"/>
      <c r="E119" s="1656"/>
      <c r="F119" s="1656"/>
      <c r="G119" s="1656"/>
      <c r="H119" s="1656"/>
      <c r="I119" s="1657"/>
      <c r="J119" s="67"/>
      <c r="K119" s="67"/>
      <c r="L119" s="67"/>
      <c r="M119" s="67"/>
      <c r="N119" s="67"/>
      <c r="O119" s="67"/>
      <c r="P119" s="67"/>
      <c r="Q119" s="67"/>
      <c r="R119" s="67"/>
      <c r="S119" s="67"/>
      <c r="T119" s="67"/>
      <c r="U119" s="67"/>
      <c r="V119" s="67"/>
      <c r="W119" s="67"/>
      <c r="CQ119" s="1624"/>
      <c r="CR119" s="1746" t="str">
        <f>IF(OR($D$90&lt;&gt;"",$E$91&lt;&gt;$D$9),"",AD50)</f>
        <v/>
      </c>
      <c r="CS119" s="1746"/>
      <c r="CT119" s="1746"/>
      <c r="CU119" s="1746"/>
      <c r="CV119" s="1746"/>
      <c r="CW119" s="1746"/>
      <c r="CX119" s="275" t="str">
        <f>IF(OR($D$90&lt;&gt;"",$E$91&lt;&gt;$D$9),"",IF(L50&lt;0,"",L50))</f>
        <v/>
      </c>
    </row>
    <row r="120" spans="2:102" ht="15" hidden="1" customHeight="1" thickBot="1" x14ac:dyDescent="0.3">
      <c r="B120" s="1740"/>
      <c r="C120" s="1656" t="str">
        <f>AD70</f>
        <v/>
      </c>
      <c r="D120" s="1656"/>
      <c r="E120" s="1656"/>
      <c r="F120" s="1656"/>
      <c r="G120" s="1656"/>
      <c r="H120" s="1656"/>
      <c r="I120" s="1657"/>
      <c r="J120" s="67"/>
      <c r="K120" s="67"/>
      <c r="L120" s="67"/>
      <c r="M120" s="67"/>
      <c r="N120" s="67"/>
      <c r="O120" s="67"/>
      <c r="P120" s="67"/>
      <c r="Q120" s="67"/>
      <c r="R120" s="67"/>
      <c r="S120" s="67"/>
      <c r="T120" s="67"/>
      <c r="U120" s="67"/>
      <c r="V120" s="67"/>
      <c r="W120" s="67"/>
      <c r="CQ120" s="1625"/>
      <c r="CR120" s="1747" t="str">
        <f>IF(OR($D$90&lt;&gt;"",$E$91&lt;&gt;$D$9),"",AD70)</f>
        <v/>
      </c>
      <c r="CS120" s="1747"/>
      <c r="CT120" s="1747"/>
      <c r="CU120" s="1747"/>
      <c r="CV120" s="1747"/>
      <c r="CW120" s="1747"/>
      <c r="CX120" s="276" t="str">
        <f>IF(OR($D$90&lt;&gt;"",$E$91&lt;&gt;$D$9),"",IF(L59&lt;0,"",L59))</f>
        <v/>
      </c>
    </row>
    <row r="121" spans="2:102" ht="15" hidden="1" customHeight="1" thickTop="1" x14ac:dyDescent="0.25">
      <c r="B121" s="1736" t="s">
        <v>893</v>
      </c>
      <c r="C121" s="1671" t="str">
        <f>AF21</f>
        <v/>
      </c>
      <c r="D121" s="1672"/>
      <c r="E121" s="1672"/>
      <c r="F121" s="1672"/>
      <c r="G121" s="1672"/>
      <c r="H121" s="1672"/>
      <c r="I121" s="1673"/>
      <c r="J121" s="67"/>
      <c r="K121" s="67"/>
      <c r="L121" s="67"/>
      <c r="M121" s="67"/>
      <c r="N121" s="67"/>
      <c r="O121" s="67"/>
      <c r="P121" s="67"/>
      <c r="Q121" s="67"/>
      <c r="R121" s="67"/>
      <c r="S121" s="67"/>
      <c r="T121" s="67"/>
      <c r="U121" s="67"/>
      <c r="V121" s="67"/>
      <c r="W121" s="67"/>
      <c r="CQ121" s="1616" t="str">
        <f>IF(OR($D$90&lt;&gt;"",$E$91&lt;&gt;$D$9),"",B121)</f>
        <v/>
      </c>
      <c r="CR121" s="1591" t="str">
        <f>IF(OR($D$90&lt;&gt;"",$E$91&lt;&gt;$D$9),"",IF(OR($D$90&lt;&gt;"",$D$91&lt;&gt;$D$9),"",C121))</f>
        <v/>
      </c>
      <c r="CS121" s="1592"/>
      <c r="CT121" s="1592"/>
      <c r="CU121" s="1592"/>
      <c r="CV121" s="1592"/>
      <c r="CW121" s="1592"/>
      <c r="CX121" s="1593"/>
    </row>
    <row r="122" spans="2:102" ht="15" hidden="1" customHeight="1" x14ac:dyDescent="0.25">
      <c r="B122" s="1737"/>
      <c r="C122" s="1671" t="str">
        <f>AD40</f>
        <v/>
      </c>
      <c r="D122" s="1672"/>
      <c r="E122" s="1672"/>
      <c r="F122" s="1672"/>
      <c r="G122" s="1672"/>
      <c r="H122" s="1672"/>
      <c r="I122" s="1673"/>
      <c r="J122" s="67"/>
      <c r="K122" s="67"/>
      <c r="L122" s="67"/>
      <c r="M122" s="67"/>
      <c r="N122" s="67"/>
      <c r="O122" s="67"/>
      <c r="P122" s="67"/>
      <c r="Q122" s="67"/>
      <c r="R122" s="67"/>
      <c r="S122" s="67"/>
      <c r="T122" s="67"/>
      <c r="U122" s="67"/>
      <c r="V122" s="67"/>
      <c r="W122" s="67"/>
      <c r="CQ122" s="1617"/>
      <c r="CR122" s="1594" t="str">
        <f>IF(OR($D$90&lt;&gt;"",$E$91&lt;&gt;$D$9),"",IF(OR($D$90&lt;&gt;"",$D$91&lt;&gt;$D$9),"",C122))</f>
        <v/>
      </c>
      <c r="CS122" s="1595"/>
      <c r="CT122" s="1595"/>
      <c r="CU122" s="1595"/>
      <c r="CV122" s="1595"/>
      <c r="CW122" s="1595"/>
      <c r="CX122" s="1596"/>
    </row>
    <row r="123" spans="2:102" ht="15" hidden="1" customHeight="1" x14ac:dyDescent="0.25">
      <c r="B123" s="1744"/>
      <c r="C123" s="1741" t="str">
        <f>AD60</f>
        <v/>
      </c>
      <c r="D123" s="1742"/>
      <c r="E123" s="1742"/>
      <c r="F123" s="1742"/>
      <c r="G123" s="1742"/>
      <c r="H123" s="1742"/>
      <c r="I123" s="1743"/>
      <c r="J123" s="67"/>
      <c r="K123" s="67"/>
      <c r="L123" s="67"/>
      <c r="M123" s="67"/>
      <c r="N123" s="67"/>
      <c r="O123" s="67"/>
      <c r="P123" s="67"/>
      <c r="Q123" s="67"/>
      <c r="R123" s="67"/>
      <c r="S123" s="67"/>
      <c r="T123" s="67"/>
      <c r="U123" s="67"/>
      <c r="V123" s="67"/>
      <c r="W123" s="67"/>
      <c r="CQ123" s="1617"/>
      <c r="CR123" s="1597" t="str">
        <f>IF(OR($D$90&lt;&gt;"",$E$91&lt;&gt;$D$9),"",IF(OR($D$90&lt;&gt;"",$D$91&lt;&gt;$D$9),"",C123))</f>
        <v/>
      </c>
      <c r="CS123" s="1598"/>
      <c r="CT123" s="1598"/>
      <c r="CU123" s="1598"/>
      <c r="CV123" s="1598"/>
      <c r="CW123" s="1598"/>
      <c r="CX123" s="1599"/>
    </row>
    <row r="124" spans="2:102" ht="15" hidden="1" customHeight="1" thickBot="1" x14ac:dyDescent="0.3">
      <c r="B124" s="1744"/>
      <c r="C124" s="1671" t="str">
        <f>AD80</f>
        <v/>
      </c>
      <c r="D124" s="1672"/>
      <c r="E124" s="1672"/>
      <c r="F124" s="1672"/>
      <c r="G124" s="1672"/>
      <c r="H124" s="1672"/>
      <c r="I124" s="1673"/>
      <c r="J124" s="67"/>
      <c r="K124" s="67"/>
      <c r="L124" s="67"/>
      <c r="M124" s="67"/>
      <c r="N124" s="67"/>
      <c r="O124" s="67"/>
      <c r="P124" s="67"/>
      <c r="Q124" s="67"/>
      <c r="R124" s="67"/>
      <c r="S124" s="67"/>
      <c r="T124" s="67"/>
      <c r="U124" s="67"/>
      <c r="V124" s="67"/>
      <c r="W124" s="67"/>
      <c r="CQ124" s="1618"/>
      <c r="CR124" s="1600" t="str">
        <f>IF(OR($D$90&lt;&gt;"",$E$91&lt;&gt;$D$9),"",IF(OR($D$90&lt;&gt;"",$D$91&lt;&gt;$D$9),"",C124))</f>
        <v/>
      </c>
      <c r="CS124" s="1601"/>
      <c r="CT124" s="1601"/>
      <c r="CU124" s="1601"/>
      <c r="CV124" s="1601"/>
      <c r="CW124" s="1601"/>
      <c r="CX124" s="1602"/>
    </row>
    <row r="125" spans="2:102" ht="15" hidden="1" customHeight="1" thickTop="1" x14ac:dyDescent="0.25">
      <c r="B125" s="311" t="s">
        <v>894</v>
      </c>
      <c r="C125" s="1714" t="str">
        <f ca="1">AF102</f>
        <v>"</v>
      </c>
      <c r="D125" s="1715"/>
      <c r="E125" s="1715"/>
      <c r="F125" s="1715"/>
      <c r="G125" s="1715"/>
      <c r="H125" s="1715"/>
      <c r="I125" s="1716"/>
      <c r="J125" s="67"/>
      <c r="K125" s="67"/>
      <c r="L125" s="67"/>
      <c r="M125" s="67"/>
      <c r="N125" s="67"/>
      <c r="O125" s="67"/>
      <c r="P125" s="67"/>
      <c r="Q125" s="67"/>
      <c r="R125" s="67"/>
      <c r="S125" s="67"/>
      <c r="T125" s="67"/>
      <c r="U125" s="67"/>
      <c r="V125" s="67"/>
      <c r="W125" s="67"/>
      <c r="CQ125" s="273" t="str">
        <f>IF(OR($D$90&lt;&gt;"",$E$91&lt;&gt;$D$9),"",B125)</f>
        <v/>
      </c>
      <c r="CR125" s="1603" t="str">
        <f>IF(OR($D$90&lt;&gt;"",$E$91&lt;&gt;$D$9),"",IF(OR($D$90&lt;&gt;"",$D$91&lt;&gt;$D$9),"",C125))</f>
        <v/>
      </c>
      <c r="CS125" s="1604"/>
      <c r="CT125" s="1604"/>
      <c r="CU125" s="1604"/>
      <c r="CV125" s="1604"/>
      <c r="CW125" s="1604"/>
      <c r="CX125" s="1605"/>
    </row>
    <row r="126" spans="2:102" ht="15" hidden="1" customHeight="1" thickBot="1" x14ac:dyDescent="0.3">
      <c r="B126" s="312"/>
      <c r="C126" s="1717"/>
      <c r="D126" s="1718"/>
      <c r="E126" s="1718"/>
      <c r="F126" s="1718"/>
      <c r="G126" s="1718"/>
      <c r="H126" s="1718"/>
      <c r="I126" s="1719"/>
      <c r="J126" s="67"/>
      <c r="K126" s="67"/>
      <c r="L126" s="67"/>
      <c r="M126" s="67"/>
      <c r="N126" s="67"/>
      <c r="O126" s="67"/>
      <c r="P126" s="67"/>
      <c r="Q126" s="67"/>
      <c r="R126" s="67"/>
      <c r="S126" s="67"/>
      <c r="T126" s="67"/>
      <c r="U126" s="67"/>
      <c r="V126" s="67"/>
      <c r="W126" s="67"/>
      <c r="CQ126" s="268"/>
      <c r="CR126" s="1606"/>
      <c r="CS126" s="1607"/>
      <c r="CT126" s="1607"/>
      <c r="CU126" s="1607"/>
      <c r="CV126" s="1607"/>
      <c r="CW126" s="1607"/>
      <c r="CX126" s="1608"/>
    </row>
    <row r="127" spans="2:102" ht="15" hidden="1" customHeight="1" thickTop="1" x14ac:dyDescent="0.25">
      <c r="B127" s="304" t="s">
        <v>895</v>
      </c>
      <c r="C127" s="1713" t="str">
        <f>IF(AB99&gt;0,Z97&amp;" "&amp;AB97&amp;Y90&amp;" "&amp;Z98&amp;" "&amp;AB98&amp;Y90,"")</f>
        <v/>
      </c>
      <c r="D127" s="1656"/>
      <c r="E127" s="1656"/>
      <c r="F127" s="1656"/>
      <c r="G127" s="1656"/>
      <c r="H127" s="1656"/>
      <c r="I127" s="1657"/>
      <c r="J127" s="67"/>
      <c r="K127" s="67"/>
      <c r="L127" s="67"/>
      <c r="M127" s="67"/>
      <c r="N127" s="67"/>
      <c r="O127" s="67"/>
      <c r="P127" s="67"/>
      <c r="Q127" s="67"/>
      <c r="R127" s="67"/>
      <c r="S127" s="67"/>
      <c r="T127" s="67"/>
      <c r="U127" s="67"/>
      <c r="V127" s="67"/>
      <c r="W127" s="67"/>
      <c r="CQ127" s="215" t="str">
        <f>IF(OR($D$90&lt;&gt;"",$E$91&lt;&gt;$D$9),"",B127)</f>
        <v/>
      </c>
      <c r="CR127" s="1609" t="str">
        <f>IF(OR($D$90&lt;&gt;"",$E$91&lt;&gt;$D$9),"",IF(OR($D$90&lt;&gt;"",$D$91&lt;&gt;$D$9),"",AF103))</f>
        <v/>
      </c>
      <c r="CS127" s="1610"/>
      <c r="CT127" s="1610"/>
      <c r="CU127" s="1610"/>
      <c r="CV127" s="1610"/>
      <c r="CW127" s="1610"/>
      <c r="CX127" s="1611"/>
    </row>
    <row r="128" spans="2:102" ht="15" hidden="1" customHeight="1" x14ac:dyDescent="0.25">
      <c r="B128" s="304" t="s">
        <v>896</v>
      </c>
      <c r="C128" s="313">
        <f>F74</f>
        <v>0</v>
      </c>
      <c r="D128" s="1721" t="s">
        <v>897</v>
      </c>
      <c r="E128" s="1722"/>
      <c r="F128" s="1722"/>
      <c r="G128" s="1723"/>
      <c r="H128" s="314">
        <f>F75</f>
        <v>0</v>
      </c>
      <c r="I128" s="143"/>
      <c r="J128" s="67"/>
      <c r="K128" s="67"/>
      <c r="L128" s="67"/>
      <c r="M128" s="67"/>
      <c r="N128" s="67"/>
      <c r="O128" s="67"/>
      <c r="P128" s="67"/>
      <c r="Q128" s="67"/>
      <c r="R128" s="67"/>
      <c r="S128" s="67"/>
      <c r="T128" s="67"/>
      <c r="U128" s="67"/>
      <c r="V128" s="67"/>
      <c r="W128" s="67"/>
      <c r="CQ128" s="215" t="str">
        <f>IF(OR($D$90&lt;&gt;"",$E$91&lt;&gt;$D$9),"",B128)</f>
        <v/>
      </c>
      <c r="CR128" s="236" t="str">
        <f>IF(OR($D$90&lt;&gt;"",$E$91&lt;&gt;$D$9),"",C128)</f>
        <v/>
      </c>
      <c r="CS128" s="1612" t="str">
        <f>IF(OR($D$90&lt;&gt;"",$D$91&lt;&gt;$D$9),"",D128)</f>
        <v/>
      </c>
      <c r="CT128" s="1613"/>
      <c r="CU128" s="1613"/>
      <c r="CV128" s="1614"/>
      <c r="CW128" s="237" t="str">
        <f>IF(OR($D$90&lt;&gt;"",$E$91&lt;&gt;$D$9),"",H128)</f>
        <v/>
      </c>
    </row>
    <row r="129" spans="2:102" ht="15" hidden="1" customHeight="1" x14ac:dyDescent="0.25">
      <c r="B129" s="304" t="s">
        <v>898</v>
      </c>
      <c r="C129" s="1724" t="str">
        <f>Z2</f>
        <v xml:space="preserve"> al  </v>
      </c>
      <c r="D129" s="1725"/>
      <c r="E129" s="1725"/>
      <c r="F129" s="1725"/>
      <c r="G129" s="1725"/>
      <c r="H129" s="1725"/>
      <c r="I129" s="1726"/>
      <c r="J129" s="67"/>
      <c r="K129" s="67"/>
      <c r="L129" s="67"/>
      <c r="M129" s="67"/>
      <c r="N129" s="67"/>
      <c r="O129" s="67"/>
      <c r="P129" s="67"/>
      <c r="Q129" s="67"/>
      <c r="R129" s="67"/>
      <c r="S129" s="67"/>
      <c r="T129" s="67"/>
      <c r="U129" s="67"/>
      <c r="V129" s="67"/>
      <c r="W129" s="67"/>
      <c r="CQ129" s="215" t="str">
        <f>IF(OR($D$90&lt;&gt;"",$E$91&lt;&gt;$D$9),"",B129)</f>
        <v/>
      </c>
      <c r="CR129" s="1619" t="str">
        <f>IF(OR($D$90&lt;&gt;"",$E$91&lt;&gt;$D$9),"",IF(OR($D$90&lt;&gt;"",$D$91&lt;&gt;$D$9),"",C129))</f>
        <v/>
      </c>
      <c r="CS129" s="1620"/>
      <c r="CT129" s="1620"/>
      <c r="CU129" s="1620"/>
      <c r="CV129" s="1620"/>
      <c r="CW129" s="1620"/>
      <c r="CX129" s="1621"/>
    </row>
    <row r="130" spans="2:102" hidden="1" x14ac:dyDescent="0.25">
      <c r="B130" s="304" t="s">
        <v>899</v>
      </c>
      <c r="C130" s="315">
        <f>G74</f>
        <v>0</v>
      </c>
      <c r="D130" s="1727" t="s">
        <v>900</v>
      </c>
      <c r="E130" s="1728"/>
      <c r="F130" s="1728"/>
      <c r="G130" s="1729"/>
      <c r="H130" s="316">
        <f>G75</f>
        <v>0</v>
      </c>
      <c r="I130" s="317"/>
      <c r="J130" s="67"/>
      <c r="K130" s="67"/>
      <c r="L130" s="67"/>
      <c r="M130" s="67"/>
      <c r="N130" s="67"/>
      <c r="O130" s="67"/>
      <c r="P130" s="67"/>
      <c r="Q130" s="67"/>
      <c r="R130" s="67"/>
      <c r="S130" s="67"/>
      <c r="T130" s="67"/>
      <c r="U130" s="67"/>
      <c r="V130" s="67"/>
      <c r="W130" s="67"/>
      <c r="CQ130" s="215" t="str">
        <f>IF(OR($D$90&lt;&gt;"",$E$91&lt;&gt;$D$9),"",B130)</f>
        <v/>
      </c>
      <c r="CR130" s="166" t="str">
        <f>IF(OR($D$90&lt;&gt;"",$E$91&lt;&gt;$D$9),"",C130)</f>
        <v/>
      </c>
      <c r="CS130" s="1580" t="str">
        <f>IF(OR($D$90&lt;&gt;"",$D$91&lt;&gt;$D$9),"",D130)</f>
        <v/>
      </c>
      <c r="CT130" s="1581"/>
      <c r="CU130" s="1581"/>
      <c r="CV130" s="1582"/>
      <c r="CW130" s="216" t="str">
        <f>IF(OR($D$90&lt;&gt;"",$E$91&lt;&gt;$D$9),"",H130)</f>
        <v/>
      </c>
      <c r="CX130" s="238"/>
    </row>
    <row r="131" spans="2:102" hidden="1" x14ac:dyDescent="0.25">
      <c r="B131" s="1669" t="str">
        <f>B81</f>
        <v>¿Desea renunciar a una parte?</v>
      </c>
      <c r="C131" s="1669" t="str">
        <f>C81</f>
        <v>Elija la Opción    ▼</v>
      </c>
      <c r="D131" s="1730"/>
      <c r="E131" s="1731"/>
      <c r="F131" s="1731"/>
      <c r="G131" s="1731"/>
      <c r="H131" s="1731"/>
      <c r="I131" s="1732"/>
      <c r="J131" s="67"/>
      <c r="K131" s="67"/>
      <c r="L131" s="67"/>
      <c r="M131" s="67"/>
      <c r="N131" s="67"/>
      <c r="O131" s="67"/>
      <c r="P131" s="67"/>
      <c r="Q131" s="67"/>
      <c r="R131" s="67"/>
      <c r="S131" s="67"/>
      <c r="T131" s="67"/>
      <c r="U131" s="67"/>
      <c r="V131" s="67"/>
      <c r="W131" s="67"/>
      <c r="CQ131" s="1583" t="str">
        <f>IF(OR($D$90&lt;&gt;"",$E$91&lt;&gt;$D$9),"",B131)</f>
        <v/>
      </c>
      <c r="CR131" s="1583" t="str">
        <f>IF(OR($D$90&lt;&gt;"",$E$91&lt;&gt;$D$9),"",C131)</f>
        <v/>
      </c>
      <c r="CS131" s="1585"/>
      <c r="CT131" s="1586"/>
      <c r="CU131" s="1586"/>
      <c r="CV131" s="1586"/>
      <c r="CW131" s="1586"/>
      <c r="CX131" s="1587"/>
    </row>
    <row r="132" spans="2:102" hidden="1" x14ac:dyDescent="0.25">
      <c r="B132" s="1720"/>
      <c r="C132" s="1720"/>
      <c r="D132" s="1733"/>
      <c r="E132" s="1734"/>
      <c r="F132" s="1734"/>
      <c r="G132" s="1734"/>
      <c r="H132" s="1734"/>
      <c r="I132" s="1735"/>
      <c r="J132" s="67"/>
      <c r="K132" s="67"/>
      <c r="L132" s="67"/>
      <c r="M132" s="67"/>
      <c r="N132" s="67"/>
      <c r="O132" s="67"/>
      <c r="P132" s="67"/>
      <c r="Q132" s="67"/>
      <c r="R132" s="67"/>
      <c r="S132" s="67"/>
      <c r="T132" s="67"/>
      <c r="U132" s="67"/>
      <c r="V132" s="67"/>
      <c r="W132" s="67"/>
      <c r="CQ132" s="1584"/>
      <c r="CR132" s="1584"/>
      <c r="CS132" s="1588"/>
      <c r="CT132" s="1589"/>
      <c r="CU132" s="1589"/>
      <c r="CV132" s="1589"/>
      <c r="CW132" s="1589"/>
      <c r="CX132" s="1590"/>
    </row>
    <row r="133" spans="2:102" ht="13.8" hidden="1" thickBot="1" x14ac:dyDescent="0.3">
      <c r="B133"/>
      <c r="C133"/>
      <c r="D133"/>
      <c r="E133"/>
      <c r="F133"/>
      <c r="G133"/>
      <c r="H133"/>
      <c r="I133"/>
      <c r="J133" s="67"/>
      <c r="K133" s="67"/>
      <c r="L133" s="67"/>
      <c r="M133" s="67"/>
      <c r="N133" s="67"/>
      <c r="O133" s="67"/>
      <c r="P133" s="67"/>
      <c r="Q133" s="67"/>
      <c r="R133" s="67"/>
      <c r="S133" s="67"/>
      <c r="T133" s="67"/>
      <c r="U133" s="67"/>
      <c r="V133" s="67"/>
      <c r="W133" s="67"/>
      <c r="CQ133" s="279" t="str">
        <f>IF(OR($D$90&lt;&gt;"",$E$91&lt;&gt;$D$9),"","€;")</f>
        <v/>
      </c>
      <c r="CR133" s="67" t="str">
        <f>IF(OR($D$90&lt;&gt;"",$E$91&lt;&gt;$D$9),"","INSCR.")</f>
        <v/>
      </c>
      <c r="CS133"/>
      <c r="CT133"/>
      <c r="CU133"/>
      <c r="CV133"/>
      <c r="CW133"/>
      <c r="CX133"/>
    </row>
    <row r="134" spans="2:102" ht="13.8" hidden="1" thickTop="1" x14ac:dyDescent="0.25">
      <c r="B134"/>
      <c r="C134"/>
      <c r="D134"/>
      <c r="E134"/>
      <c r="F134"/>
      <c r="G134"/>
      <c r="H134"/>
      <c r="I134"/>
      <c r="J134" s="67"/>
      <c r="K134" s="67"/>
      <c r="L134" s="67"/>
      <c r="M134" s="67"/>
      <c r="N134" s="67"/>
      <c r="O134" s="67"/>
      <c r="P134" s="67"/>
      <c r="Q134" s="67"/>
      <c r="R134" s="67"/>
      <c r="S134" s="67"/>
      <c r="T134" s="67"/>
      <c r="U134" s="67"/>
      <c r="V134" s="67"/>
      <c r="W134" s="67"/>
      <c r="CQ134" s="1748" t="str">
        <f>IF(OR($D$90&lt;&gt;"",$E$91&lt;&gt;$D$9),"","ALOJAMIENTOS")</f>
        <v/>
      </c>
      <c r="CR134" s="1749"/>
      <c r="CS134" s="1749"/>
      <c r="CT134" s="1749"/>
      <c r="CU134" s="1749"/>
      <c r="CV134" s="1749"/>
      <c r="CW134" s="1749"/>
      <c r="CX134" s="1750"/>
    </row>
    <row r="135" spans="2:102" ht="15" hidden="1" x14ac:dyDescent="0.25">
      <c r="B135"/>
      <c r="C135"/>
      <c r="D135"/>
      <c r="E135"/>
      <c r="F135"/>
      <c r="G135"/>
      <c r="H135"/>
      <c r="I135"/>
      <c r="J135" s="67"/>
      <c r="K135" s="67"/>
      <c r="L135" s="67"/>
      <c r="M135" s="67"/>
      <c r="N135" s="67"/>
      <c r="O135" s="67"/>
      <c r="P135" s="67"/>
      <c r="Q135" s="67"/>
      <c r="R135" s="67"/>
      <c r="S135" s="67"/>
      <c r="T135" s="67"/>
      <c r="U135" s="67"/>
      <c r="V135" s="67"/>
      <c r="W135" s="67"/>
      <c r="CQ135" s="319" t="str">
        <f>IF(OR($D$90&lt;&gt;"",$E$91&lt;&gt;$D$9),"",AQ6)</f>
        <v/>
      </c>
      <c r="CR135" s="104"/>
      <c r="CS135" s="1577" t="str">
        <f>IF(OR($D$90&lt;&gt;"",$E$91&lt;&gt;$D$9),"",AU6)</f>
        <v/>
      </c>
      <c r="CT135" s="1578"/>
      <c r="CU135" s="1578"/>
      <c r="CV135" s="1578"/>
      <c r="CW135" s="1578"/>
      <c r="CX135" s="1579"/>
    </row>
    <row r="136" spans="2:102" ht="15" hidden="1" x14ac:dyDescent="0.25">
      <c r="B136"/>
      <c r="C136"/>
      <c r="D136"/>
      <c r="E136"/>
      <c r="F136"/>
      <c r="G136"/>
      <c r="H136"/>
      <c r="I136"/>
      <c r="J136" s="67"/>
      <c r="K136" s="67"/>
      <c r="L136" s="67"/>
      <c r="M136" s="67"/>
      <c r="N136" s="67"/>
      <c r="O136" s="67"/>
      <c r="P136" s="67"/>
      <c r="Q136" s="67"/>
      <c r="R136" s="67"/>
      <c r="S136" s="67"/>
      <c r="T136" s="67"/>
      <c r="U136" s="67"/>
      <c r="V136" s="67"/>
      <c r="W136" s="67"/>
      <c r="CQ136" s="1576" t="str">
        <f>IF(OR($D$90&lt;&gt;"",$E$91&lt;&gt;$D$9),"",AQ7)</f>
        <v/>
      </c>
      <c r="CR136" s="1576"/>
      <c r="CS136" s="1576" t="str">
        <f>IF(OR($D$90&lt;&gt;"",$E$91&lt;&gt;$D$9),"",AV9)</f>
        <v/>
      </c>
      <c r="CT136" s="1576"/>
      <c r="CU136" s="1576"/>
      <c r="CV136" s="1576"/>
      <c r="CW136" s="1576"/>
      <c r="CX136" s="1576"/>
    </row>
    <row r="137" spans="2:102" ht="15" hidden="1" x14ac:dyDescent="0.25">
      <c r="B137"/>
      <c r="C137"/>
      <c r="D137"/>
      <c r="E137"/>
      <c r="F137"/>
      <c r="G137"/>
      <c r="H137"/>
      <c r="I137"/>
      <c r="J137" s="67"/>
      <c r="K137" s="67"/>
      <c r="L137" s="67"/>
      <c r="M137" s="67"/>
      <c r="N137" s="67"/>
      <c r="O137" s="67"/>
      <c r="P137" s="67"/>
      <c r="Q137" s="67"/>
      <c r="R137" s="67"/>
      <c r="S137" s="67"/>
      <c r="T137" s="67"/>
      <c r="U137" s="67"/>
      <c r="V137" s="67"/>
      <c r="W137" s="67"/>
      <c r="CQ137" s="1576" t="str">
        <f>IF(OR($D$90&lt;&gt;"",$E$91&lt;&gt;$D$9),"",AQ8)</f>
        <v/>
      </c>
      <c r="CR137" s="1576"/>
      <c r="CS137" s="1576" t="str">
        <f>IF(OR($D$90&lt;&gt;"",$E$91&lt;&gt;$D$9),"",AV10)</f>
        <v/>
      </c>
      <c r="CT137" s="1576"/>
      <c r="CU137" s="1576"/>
      <c r="CV137" s="1576"/>
      <c r="CW137" s="1576"/>
      <c r="CX137" s="1576"/>
    </row>
    <row r="138" spans="2:102" ht="15" hidden="1" x14ac:dyDescent="0.25">
      <c r="B138"/>
      <c r="C138"/>
      <c r="D138"/>
      <c r="E138"/>
      <c r="F138"/>
      <c r="G138"/>
      <c r="H138"/>
      <c r="I138"/>
      <c r="J138" s="67"/>
      <c r="K138" s="67"/>
      <c r="L138" s="67"/>
      <c r="M138" s="67"/>
      <c r="N138" s="67"/>
      <c r="O138" s="67"/>
      <c r="P138" s="67"/>
      <c r="Q138" s="67"/>
      <c r="R138" s="67"/>
      <c r="S138" s="67"/>
      <c r="T138" s="67"/>
      <c r="U138" s="67"/>
      <c r="V138" s="67"/>
      <c r="W138" s="67"/>
      <c r="CQ138" s="1576" t="str">
        <f>IF(OR($D$90&lt;&gt;"",$E$91&lt;&gt;$D$9),"",AQ9)</f>
        <v/>
      </c>
      <c r="CR138" s="1576"/>
      <c r="CS138" s="1576" t="str">
        <f>IF(OR($D$90&lt;&gt;"",$E$91&lt;&gt;$D$9),"",AV11)</f>
        <v/>
      </c>
      <c r="CT138" s="1576"/>
      <c r="CU138" s="1576"/>
      <c r="CV138" s="1576"/>
      <c r="CW138" s="1576"/>
      <c r="CX138" s="1576"/>
    </row>
    <row r="139" spans="2:102" ht="15" hidden="1" x14ac:dyDescent="0.25">
      <c r="B139"/>
      <c r="C139"/>
      <c r="D139"/>
      <c r="E139"/>
      <c r="F139"/>
      <c r="G139"/>
      <c r="H139"/>
      <c r="I139"/>
      <c r="J139" s="67"/>
      <c r="K139" s="67"/>
      <c r="L139" s="67"/>
      <c r="M139" s="67"/>
      <c r="N139" s="67"/>
      <c r="O139" s="67"/>
      <c r="P139" s="67"/>
      <c r="Q139" s="67"/>
      <c r="R139" s="67"/>
      <c r="S139" s="67"/>
      <c r="T139" s="67"/>
      <c r="U139" s="67"/>
      <c r="V139" s="67"/>
      <c r="W139" s="67"/>
      <c r="CQ139" s="1576" t="str">
        <f>IF(OR($D$90&lt;&gt;"",$E$91&lt;&gt;$D$9),"",AQ10)</f>
        <v/>
      </c>
      <c r="CR139" s="1576"/>
      <c r="CS139" s="1576" t="str">
        <f>IF(OR($D$90&lt;&gt;"",$E$91&lt;&gt;$D$9),"",AV12)</f>
        <v/>
      </c>
      <c r="CT139" s="1576"/>
      <c r="CU139" s="1576"/>
      <c r="CV139" s="1576"/>
      <c r="CW139" s="1576"/>
      <c r="CX139" s="1576"/>
    </row>
    <row r="140" spans="2:102" ht="15" hidden="1" x14ac:dyDescent="0.25">
      <c r="B140"/>
      <c r="C140"/>
      <c r="D140"/>
      <c r="E140"/>
      <c r="F140"/>
      <c r="G140"/>
      <c r="H140"/>
      <c r="I140"/>
      <c r="J140" s="67"/>
      <c r="K140" s="67"/>
      <c r="L140" s="67"/>
      <c r="M140" s="67"/>
      <c r="N140" s="67"/>
      <c r="O140" s="67"/>
      <c r="P140" s="67"/>
      <c r="Q140" s="67"/>
      <c r="R140" s="67"/>
      <c r="S140" s="67"/>
      <c r="T140" s="67"/>
      <c r="U140" s="67"/>
      <c r="V140" s="67"/>
      <c r="W140" s="67"/>
      <c r="CQ140" s="287"/>
      <c r="CR140" s="277"/>
      <c r="CS140" s="1573"/>
      <c r="CT140" s="1574"/>
      <c r="CU140" s="1574"/>
      <c r="CV140" s="1574"/>
      <c r="CW140" s="1574"/>
      <c r="CX140" s="1575"/>
    </row>
    <row r="141" spans="2:102" ht="15" hidden="1" x14ac:dyDescent="0.25">
      <c r="B141"/>
      <c r="C141"/>
      <c r="D141"/>
      <c r="E141"/>
      <c r="F141"/>
      <c r="G141"/>
      <c r="H141"/>
      <c r="I141"/>
      <c r="J141" s="67"/>
      <c r="K141" s="67"/>
      <c r="L141" s="67"/>
      <c r="M141" s="67"/>
      <c r="N141" s="67"/>
      <c r="O141" s="67"/>
      <c r="P141" s="67"/>
      <c r="Q141" s="67"/>
      <c r="R141" s="67"/>
      <c r="S141" s="67"/>
      <c r="T141" s="67"/>
      <c r="U141" s="67"/>
      <c r="V141" s="67"/>
      <c r="W141" s="67"/>
      <c r="CQ141" s="296"/>
      <c r="CR141" s="278"/>
      <c r="CS141" s="297"/>
      <c r="CT141" s="285"/>
      <c r="CU141" s="285"/>
      <c r="CV141" s="285"/>
      <c r="CW141" s="285"/>
      <c r="CX141" s="286"/>
    </row>
    <row r="142" spans="2:102" ht="13.8" hidden="1" thickBot="1" x14ac:dyDescent="0.3">
      <c r="B142"/>
      <c r="C142"/>
      <c r="D142"/>
      <c r="E142"/>
      <c r="F142"/>
      <c r="G142"/>
      <c r="H142"/>
      <c r="I142"/>
      <c r="J142" s="67"/>
      <c r="K142" s="67"/>
      <c r="L142" s="67"/>
      <c r="M142" s="67"/>
      <c r="N142" s="67"/>
      <c r="O142" s="67"/>
      <c r="P142" s="67"/>
      <c r="Q142" s="67"/>
      <c r="R142" s="67"/>
      <c r="S142" s="67"/>
      <c r="T142" s="67"/>
      <c r="U142" s="67"/>
      <c r="V142" s="67"/>
      <c r="W142" s="67"/>
      <c r="CQ142"/>
      <c r="CR142"/>
      <c r="CS142"/>
      <c r="CT142"/>
      <c r="CU142"/>
      <c r="CV142"/>
      <c r="CW142"/>
      <c r="CX142"/>
    </row>
    <row r="143" spans="2:102" ht="16.2" hidden="1" thickTop="1" thickBot="1" x14ac:dyDescent="0.3">
      <c r="B143"/>
      <c r="C143"/>
      <c r="D143"/>
      <c r="E143"/>
      <c r="F143"/>
      <c r="G143"/>
      <c r="H143"/>
      <c r="I143"/>
      <c r="J143" s="67"/>
      <c r="K143" s="67"/>
      <c r="L143" s="67"/>
      <c r="M143" s="67"/>
      <c r="N143" s="67"/>
      <c r="O143" s="67"/>
      <c r="P143" s="67"/>
      <c r="Q143" s="67"/>
      <c r="R143" s="67"/>
      <c r="S143" s="67"/>
      <c r="T143" s="67"/>
      <c r="U143" s="67"/>
      <c r="V143" s="67"/>
      <c r="W143" s="67"/>
      <c r="CQ143" s="298" t="str">
        <f>IF(OR($D$90&lt;&gt;"",$E$91&lt;&gt;$D$9),"",AQ14)</f>
        <v/>
      </c>
      <c r="CR143" s="299"/>
      <c r="CS143" s="300"/>
      <c r="CT143" s="282"/>
      <c r="CU143" s="282"/>
      <c r="CV143" s="282"/>
      <c r="CW143" s="282"/>
      <c r="CX143" s="283"/>
    </row>
    <row r="144" spans="2:102" ht="15.6" hidden="1" thickTop="1" x14ac:dyDescent="0.25">
      <c r="B144"/>
      <c r="C144"/>
      <c r="D144"/>
      <c r="E144"/>
      <c r="F144"/>
      <c r="G144"/>
      <c r="H144"/>
      <c r="I144"/>
      <c r="J144" s="67"/>
      <c r="K144" s="67"/>
      <c r="L144" s="67"/>
      <c r="M144" s="67"/>
      <c r="N144" s="67"/>
      <c r="O144" s="67"/>
      <c r="P144" s="67"/>
      <c r="Q144" s="67"/>
      <c r="R144" s="67"/>
      <c r="S144" s="67"/>
      <c r="T144" s="67"/>
      <c r="U144" s="67"/>
      <c r="V144" s="67"/>
      <c r="W144" s="67"/>
      <c r="CQ144" s="287" t="str">
        <f>IF(OR($D$90&lt;&gt;"",$E$91&lt;&gt;$D$9),"",AR17)</f>
        <v/>
      </c>
      <c r="CR144" s="125"/>
      <c r="CS144" s="125"/>
      <c r="CT144" s="125"/>
      <c r="CU144" s="125"/>
      <c r="CV144" s="125"/>
      <c r="CW144" s="125"/>
      <c r="CX144" s="284"/>
    </row>
    <row r="145" spans="2:102" ht="15" hidden="1" x14ac:dyDescent="0.25">
      <c r="B145"/>
      <c r="C145"/>
      <c r="D145"/>
      <c r="E145"/>
      <c r="F145"/>
      <c r="G145"/>
      <c r="H145"/>
      <c r="I145"/>
      <c r="J145" s="67"/>
      <c r="K145" s="67"/>
      <c r="L145" s="67"/>
      <c r="M145" s="67"/>
      <c r="N145" s="67"/>
      <c r="O145" s="67"/>
      <c r="P145" s="67"/>
      <c r="Q145" s="67"/>
      <c r="R145" s="67"/>
      <c r="S145" s="67"/>
      <c r="T145" s="67"/>
      <c r="U145" s="67"/>
      <c r="V145" s="67"/>
      <c r="W145" s="67"/>
      <c r="CQ145" s="287" t="str">
        <f>IF(OR($D$90&lt;&gt;"",$E$91&lt;&gt;$D$9),"",AR18)</f>
        <v/>
      </c>
      <c r="CR145" s="125"/>
      <c r="CS145" s="125"/>
      <c r="CT145" s="125"/>
      <c r="CU145" s="125"/>
      <c r="CV145" s="125"/>
      <c r="CW145" s="125"/>
      <c r="CX145" s="284"/>
    </row>
    <row r="146" spans="2:102" ht="15" hidden="1" x14ac:dyDescent="0.25">
      <c r="B146"/>
      <c r="C146"/>
      <c r="D146"/>
      <c r="E146"/>
      <c r="F146"/>
      <c r="G146"/>
      <c r="H146"/>
      <c r="I146"/>
      <c r="J146" s="67"/>
      <c r="K146" s="67"/>
      <c r="L146" s="67"/>
      <c r="M146" s="67"/>
      <c r="N146" s="67"/>
      <c r="O146" s="67"/>
      <c r="P146" s="67"/>
      <c r="Q146" s="67"/>
      <c r="R146" s="67"/>
      <c r="S146" s="67"/>
      <c r="T146" s="67"/>
      <c r="U146" s="67"/>
      <c r="V146" s="67"/>
      <c r="W146" s="67"/>
      <c r="CQ146" s="287" t="str">
        <f>IF(OR($D$90&lt;&gt;"",$E$91&lt;&gt;$D$9),"",AR19)</f>
        <v/>
      </c>
      <c r="CR146" s="125"/>
      <c r="CS146" s="125"/>
      <c r="CT146" s="125"/>
      <c r="CU146" s="125"/>
      <c r="CV146" s="125"/>
      <c r="CW146" s="125"/>
      <c r="CX146" s="284"/>
    </row>
    <row r="147" spans="2:102" ht="15" hidden="1" x14ac:dyDescent="0.25">
      <c r="B147"/>
      <c r="C147"/>
      <c r="D147"/>
      <c r="E147"/>
      <c r="F147"/>
      <c r="G147"/>
      <c r="H147"/>
      <c r="I147"/>
      <c r="J147" s="67"/>
      <c r="K147" s="67"/>
      <c r="L147" s="67"/>
      <c r="M147" s="67"/>
      <c r="N147" s="67"/>
      <c r="O147" s="67"/>
      <c r="P147" s="67"/>
      <c r="Q147" s="67"/>
      <c r="R147" s="67"/>
      <c r="S147" s="67"/>
      <c r="T147" s="67"/>
      <c r="U147" s="67"/>
      <c r="V147" s="67"/>
      <c r="W147" s="67"/>
      <c r="CQ147" s="296" t="str">
        <f>IF(OR($D$90&lt;&gt;"",$E$91&lt;&gt;$D$9),"",AR20)</f>
        <v/>
      </c>
      <c r="CR147" s="285"/>
      <c r="CS147" s="285"/>
      <c r="CT147" s="285"/>
      <c r="CU147" s="285"/>
      <c r="CV147" s="285"/>
      <c r="CW147" s="285"/>
      <c r="CX147" s="286"/>
    </row>
    <row r="148" spans="2:102" ht="13.8" hidden="1" thickBot="1" x14ac:dyDescent="0.3">
      <c r="CQ148" t="str">
        <f>IF(OR($D$90&lt;&gt;"",$E$91&lt;&gt;$D$9),"","VIAJE A:")</f>
        <v/>
      </c>
      <c r="CR148"/>
      <c r="CS148"/>
      <c r="CT148"/>
      <c r="CU148"/>
      <c r="CV148"/>
      <c r="CW148"/>
      <c r="CX148"/>
    </row>
    <row r="149" spans="2:102" ht="15.6" hidden="1" thickTop="1" x14ac:dyDescent="0.25">
      <c r="CQ149" s="288" t="str">
        <f>IF(OR($D$90&lt;&gt;"",$E$91&lt;&gt;$D$9),"",CR104&amp;" "&amp;CR109&amp;" "&amp;CU108&amp;" "&amp;Z2&amp;" "&amp;CR133&amp;" "&amp;CR128&amp;CQ133)</f>
        <v/>
      </c>
      <c r="CR149" s="289"/>
      <c r="CS149" s="289"/>
      <c r="CT149" s="289"/>
      <c r="CU149" s="289"/>
      <c r="CV149" s="289"/>
      <c r="CW149" s="289"/>
      <c r="CX149" s="290"/>
    </row>
    <row r="150" spans="2:102" ht="15" hidden="1" x14ac:dyDescent="0.25">
      <c r="CQ150" s="291" t="str">
        <f>IF(OR($D$90&lt;&gt;"",$E$91&lt;&gt;$D$9),"",AQ23&amp;" "&amp;AQ24&amp;" "&amp;AR24&amp;CQ133&amp;" "&amp;AQ25&amp;" "&amp;AR25&amp;CQ133&amp;" "&amp;AQ26&amp;" "&amp;AR26&amp;CQ133&amp;" "&amp;AQ27&amp;" "&amp;AR27&amp;CQ133)</f>
        <v/>
      </c>
      <c r="CR150"/>
      <c r="CS150"/>
      <c r="CT150"/>
      <c r="CU150"/>
      <c r="CV150"/>
      <c r="CW150"/>
      <c r="CX150" s="292"/>
    </row>
    <row r="151" spans="2:102" ht="15" hidden="1" x14ac:dyDescent="0.25">
      <c r="CQ151" s="293"/>
      <c r="CR151"/>
      <c r="CS151"/>
      <c r="CT151"/>
      <c r="CU151"/>
      <c r="CV151"/>
      <c r="CW151"/>
      <c r="CX151" s="292"/>
    </row>
    <row r="152" spans="2:102" ht="15.6" hidden="1" thickBot="1" x14ac:dyDescent="0.3">
      <c r="CQ152" s="302" t="str">
        <f>IF(OR($D$90&lt;&gt;"",$E$91&lt;&gt;$D$9),"",CR125)</f>
        <v/>
      </c>
      <c r="CR152" s="294"/>
      <c r="CS152" s="294"/>
      <c r="CT152" s="294"/>
      <c r="CU152" s="294"/>
      <c r="CV152" s="294"/>
      <c r="CW152" s="294"/>
      <c r="CX152" s="295"/>
    </row>
    <row r="153" spans="2:102" ht="13.8" hidden="1" thickTop="1" x14ac:dyDescent="0.25">
      <c r="CQ153"/>
      <c r="CR153"/>
      <c r="CS153"/>
      <c r="CT153"/>
      <c r="CU153"/>
      <c r="CV153"/>
      <c r="CW153"/>
      <c r="CX153"/>
    </row>
    <row r="154" spans="2:102" hidden="1" x14ac:dyDescent="0.25">
      <c r="CQ154"/>
      <c r="CR154"/>
      <c r="CS154"/>
      <c r="CT154"/>
      <c r="CU154"/>
      <c r="CV154"/>
      <c r="CW154"/>
      <c r="CX154"/>
    </row>
    <row r="155" spans="2:102" hidden="1" x14ac:dyDescent="0.25">
      <c r="CQ155"/>
      <c r="CR155"/>
      <c r="CS155"/>
      <c r="CT155"/>
      <c r="CU155"/>
      <c r="CV155"/>
      <c r="CW155"/>
      <c r="CX155"/>
    </row>
    <row r="156" spans="2:102" ht="13.8" hidden="1" x14ac:dyDescent="0.25">
      <c r="CQ156" s="23"/>
    </row>
    <row r="157" spans="2:102" ht="13.8" hidden="1" x14ac:dyDescent="0.25">
      <c r="CQ157" s="23"/>
    </row>
    <row r="158" spans="2:102" ht="13.8" hidden="1" x14ac:dyDescent="0.25">
      <c r="CQ158" s="23"/>
    </row>
    <row r="159" spans="2:102" ht="13.8" hidden="1" x14ac:dyDescent="0.25">
      <c r="CQ159" s="23"/>
    </row>
    <row r="160" spans="2:102" ht="13.8" hidden="1" x14ac:dyDescent="0.25">
      <c r="CQ160" s="23"/>
    </row>
    <row r="161" hidden="1" x14ac:dyDescent="0.25"/>
  </sheetData>
  <sheetProtection password="A7D8" sheet="1" objects="1" scenarios="1" selectLockedCells="1"/>
  <mergeCells count="315">
    <mergeCell ref="CR118:CW118"/>
    <mergeCell ref="CR119:CW119"/>
    <mergeCell ref="CR120:CW120"/>
    <mergeCell ref="CQ134:CX134"/>
    <mergeCell ref="AQ5:AX5"/>
    <mergeCell ref="CR108:CT108"/>
    <mergeCell ref="CU108:CX108"/>
    <mergeCell ref="AQ6:AS6"/>
    <mergeCell ref="CR113:CW113"/>
    <mergeCell ref="CR112:CW112"/>
    <mergeCell ref="CR114:CW114"/>
    <mergeCell ref="CR115:CW115"/>
    <mergeCell ref="CR116:CW116"/>
    <mergeCell ref="CR117:CW117"/>
    <mergeCell ref="CT18:CX18"/>
    <mergeCell ref="CW21:CX21"/>
    <mergeCell ref="CW22:CX22"/>
    <mergeCell ref="CW25:CX25"/>
    <mergeCell ref="CQ27:CU27"/>
    <mergeCell ref="CV27:CW27"/>
    <mergeCell ref="CU29:CW29"/>
    <mergeCell ref="CU31:CX31"/>
    <mergeCell ref="CU32:CW32"/>
    <mergeCell ref="CS33:CT33"/>
    <mergeCell ref="C127:I127"/>
    <mergeCell ref="C125:I126"/>
    <mergeCell ref="B131:B132"/>
    <mergeCell ref="D128:G128"/>
    <mergeCell ref="C129:I129"/>
    <mergeCell ref="D130:G130"/>
    <mergeCell ref="C131:C132"/>
    <mergeCell ref="D131:I132"/>
    <mergeCell ref="B113:B114"/>
    <mergeCell ref="B115:B116"/>
    <mergeCell ref="B117:B118"/>
    <mergeCell ref="B119:B120"/>
    <mergeCell ref="C121:I121"/>
    <mergeCell ref="C122:I122"/>
    <mergeCell ref="C123:I123"/>
    <mergeCell ref="C124:I124"/>
    <mergeCell ref="B121:B122"/>
    <mergeCell ref="B123:B124"/>
    <mergeCell ref="C116:I116"/>
    <mergeCell ref="C114:I114"/>
    <mergeCell ref="C115:I115"/>
    <mergeCell ref="C117:I117"/>
    <mergeCell ref="C118:I118"/>
    <mergeCell ref="C119:I119"/>
    <mergeCell ref="B96:I96"/>
    <mergeCell ref="B97:G97"/>
    <mergeCell ref="B98:I98"/>
    <mergeCell ref="D100:F100"/>
    <mergeCell ref="B9:C9"/>
    <mergeCell ref="D9:F9"/>
    <mergeCell ref="H21:I21"/>
    <mergeCell ref="H22:I22"/>
    <mergeCell ref="H35:I35"/>
    <mergeCell ref="H25:I25"/>
    <mergeCell ref="B27:F27"/>
    <mergeCell ref="G27:H27"/>
    <mergeCell ref="D77:F77"/>
    <mergeCell ref="C81:D81"/>
    <mergeCell ref="E81:G81"/>
    <mergeCell ref="B74:E74"/>
    <mergeCell ref="C72:F72"/>
    <mergeCell ref="B75:E75"/>
    <mergeCell ref="C10:E10"/>
    <mergeCell ref="E14:H14"/>
    <mergeCell ref="F29:H29"/>
    <mergeCell ref="C11:H11"/>
    <mergeCell ref="C12:F12"/>
    <mergeCell ref="E15:H15"/>
    <mergeCell ref="X3:AK3"/>
    <mergeCell ref="X86:AJ86"/>
    <mergeCell ref="W13:AI13"/>
    <mergeCell ref="W10:AC10"/>
    <mergeCell ref="W11:AC11"/>
    <mergeCell ref="W12:AC12"/>
    <mergeCell ref="W19:AC19"/>
    <mergeCell ref="W20:AC20"/>
    <mergeCell ref="W21:AC21"/>
    <mergeCell ref="W22:AC22"/>
    <mergeCell ref="W23:AJ23"/>
    <mergeCell ref="W31:AC31"/>
    <mergeCell ref="W32:AC32"/>
    <mergeCell ref="W33:AC33"/>
    <mergeCell ref="W34:AE34"/>
    <mergeCell ref="W40:AC40"/>
    <mergeCell ref="W41:AC41"/>
    <mergeCell ref="W42:AC42"/>
    <mergeCell ref="W43:AC43"/>
    <mergeCell ref="AD43:AE43"/>
    <mergeCell ref="W51:AC51"/>
    <mergeCell ref="W62:AC62"/>
    <mergeCell ref="W63:AC63"/>
    <mergeCell ref="AD63:AE63"/>
    <mergeCell ref="W101:AB101"/>
    <mergeCell ref="W64:AM64"/>
    <mergeCell ref="W71:AC71"/>
    <mergeCell ref="W72:AC72"/>
    <mergeCell ref="W73:AC73"/>
    <mergeCell ref="W74:AE74"/>
    <mergeCell ref="W80:AC80"/>
    <mergeCell ref="W81:AC81"/>
    <mergeCell ref="W82:AC82"/>
    <mergeCell ref="W83:AC83"/>
    <mergeCell ref="AD83:AE83"/>
    <mergeCell ref="W84:AF84"/>
    <mergeCell ref="Z90:AA90"/>
    <mergeCell ref="Z91:AA91"/>
    <mergeCell ref="Z92:AA92"/>
    <mergeCell ref="Z93:AA93"/>
    <mergeCell ref="Z94:AA94"/>
    <mergeCell ref="Z95:AA95"/>
    <mergeCell ref="Z96:AA96"/>
    <mergeCell ref="Z97:AA97"/>
    <mergeCell ref="Z98:AA98"/>
    <mergeCell ref="Z99:AA99"/>
    <mergeCell ref="M1:O1"/>
    <mergeCell ref="P1:T1"/>
    <mergeCell ref="M2:O2"/>
    <mergeCell ref="P2:T2"/>
    <mergeCell ref="M4:O4"/>
    <mergeCell ref="P4:R4"/>
    <mergeCell ref="C4:I4"/>
    <mergeCell ref="C6:I6"/>
    <mergeCell ref="C7:I7"/>
    <mergeCell ref="P5:Q5"/>
    <mergeCell ref="H5:I5"/>
    <mergeCell ref="M5:N5"/>
    <mergeCell ref="K6:L6"/>
    <mergeCell ref="M6:N6"/>
    <mergeCell ref="F42:I42"/>
    <mergeCell ref="P6:Q6"/>
    <mergeCell ref="P7:Q7"/>
    <mergeCell ref="M8:N8"/>
    <mergeCell ref="P8:Q8"/>
    <mergeCell ref="M7:N7"/>
    <mergeCell ref="C2:H2"/>
    <mergeCell ref="C3:H3"/>
    <mergeCell ref="C8:I8"/>
    <mergeCell ref="H23:I23"/>
    <mergeCell ref="H37:I37"/>
    <mergeCell ref="B95:I95"/>
    <mergeCell ref="G10:H10"/>
    <mergeCell ref="B63:F63"/>
    <mergeCell ref="C65:C66"/>
    <mergeCell ref="B64:F64"/>
    <mergeCell ref="G64:H64"/>
    <mergeCell ref="D33:E33"/>
    <mergeCell ref="D44:E44"/>
    <mergeCell ref="D55:E55"/>
    <mergeCell ref="G63:H63"/>
    <mergeCell ref="F32:H32"/>
    <mergeCell ref="H50:I50"/>
    <mergeCell ref="H46:I46"/>
    <mergeCell ref="H61:I61"/>
    <mergeCell ref="H47:I47"/>
    <mergeCell ref="H57:I57"/>
    <mergeCell ref="H58:I58"/>
    <mergeCell ref="H36:I36"/>
    <mergeCell ref="H39:I39"/>
    <mergeCell ref="E16:I16"/>
    <mergeCell ref="E18:I18"/>
    <mergeCell ref="E17:I17"/>
    <mergeCell ref="F31:I31"/>
    <mergeCell ref="F33:I33"/>
    <mergeCell ref="W52:AC52"/>
    <mergeCell ref="W53:AC53"/>
    <mergeCell ref="W54:AE54"/>
    <mergeCell ref="W60:AC60"/>
    <mergeCell ref="W61:AC61"/>
    <mergeCell ref="B93:E93"/>
    <mergeCell ref="C83:G83"/>
    <mergeCell ref="P83:T83"/>
    <mergeCell ref="B85:H85"/>
    <mergeCell ref="B86:H86"/>
    <mergeCell ref="D88:E88"/>
    <mergeCell ref="F88:H88"/>
    <mergeCell ref="C87:G87"/>
    <mergeCell ref="M83:O83"/>
    <mergeCell ref="D90:H90"/>
    <mergeCell ref="D78:G78"/>
    <mergeCell ref="D76:E76"/>
    <mergeCell ref="E66:F66"/>
    <mergeCell ref="C120:I120"/>
    <mergeCell ref="AD28:AF28"/>
    <mergeCell ref="AD29:AF29"/>
    <mergeCell ref="C110:I111"/>
    <mergeCell ref="E92:H92"/>
    <mergeCell ref="F44:I44"/>
    <mergeCell ref="F53:I53"/>
    <mergeCell ref="F52:I52"/>
    <mergeCell ref="F54:I54"/>
    <mergeCell ref="F55:I55"/>
    <mergeCell ref="B76:C76"/>
    <mergeCell ref="B77:C77"/>
    <mergeCell ref="A91:B91"/>
    <mergeCell ref="E91:H91"/>
    <mergeCell ref="B79:G79"/>
    <mergeCell ref="B80:G80"/>
    <mergeCell ref="B82:G82"/>
    <mergeCell ref="B110:B111"/>
    <mergeCell ref="C104:I104"/>
    <mergeCell ref="C106:I106"/>
    <mergeCell ref="C107:I107"/>
    <mergeCell ref="C108:I108"/>
    <mergeCell ref="C109:I109"/>
    <mergeCell ref="C113:I113"/>
    <mergeCell ref="CR2:CW2"/>
    <mergeCell ref="CR3:CW3"/>
    <mergeCell ref="CR4:CX4"/>
    <mergeCell ref="CW5:CX5"/>
    <mergeCell ref="CR8:CX8"/>
    <mergeCell ref="CQ9:CR9"/>
    <mergeCell ref="CS9:CU9"/>
    <mergeCell ref="CR6:CX7"/>
    <mergeCell ref="CT17:CX17"/>
    <mergeCell ref="CR10:CT10"/>
    <mergeCell ref="CV10:CW10"/>
    <mergeCell ref="CR11:CW11"/>
    <mergeCell ref="CR12:CU12"/>
    <mergeCell ref="CT14:CW14"/>
    <mergeCell ref="CT15:CW15"/>
    <mergeCell ref="CT16:CX16"/>
    <mergeCell ref="CU33:CX33"/>
    <mergeCell ref="CW35:CX35"/>
    <mergeCell ref="CW36:CX36"/>
    <mergeCell ref="CW39:CX39"/>
    <mergeCell ref="CU42:CX42"/>
    <mergeCell ref="CS44:CT44"/>
    <mergeCell ref="CU44:CX44"/>
    <mergeCell ref="CW46:CX46"/>
    <mergeCell ref="CW47:CX47"/>
    <mergeCell ref="CW50:CX50"/>
    <mergeCell ref="CU52:CX52"/>
    <mergeCell ref="CU53:CX53"/>
    <mergeCell ref="CU54:CX54"/>
    <mergeCell ref="CS55:CT55"/>
    <mergeCell ref="CU55:CX55"/>
    <mergeCell ref="CW57:CX57"/>
    <mergeCell ref="CW58:CX58"/>
    <mergeCell ref="CW61:CX61"/>
    <mergeCell ref="CQ121:CQ124"/>
    <mergeCell ref="CR95:CV95"/>
    <mergeCell ref="CQ63:CU63"/>
    <mergeCell ref="CV63:CW63"/>
    <mergeCell ref="CQ64:CU64"/>
    <mergeCell ref="CV64:CW64"/>
    <mergeCell ref="CR65:CR66"/>
    <mergeCell ref="CR72:CU72"/>
    <mergeCell ref="CQ74:CT74"/>
    <mergeCell ref="CQ75:CT75"/>
    <mergeCell ref="CQ76:CR76"/>
    <mergeCell ref="CS76:CT76"/>
    <mergeCell ref="CR87:CV87"/>
    <mergeCell ref="CS88:CT88"/>
    <mergeCell ref="CU88:CW88"/>
    <mergeCell ref="CS90:CW90"/>
    <mergeCell ref="CT91:CW91"/>
    <mergeCell ref="CQ77:CR77"/>
    <mergeCell ref="CS77:CU77"/>
    <mergeCell ref="CS78:CV78"/>
    <mergeCell ref="CQ79:CV79"/>
    <mergeCell ref="CQ80:CV80"/>
    <mergeCell ref="CR81:CS81"/>
    <mergeCell ref="CT81:CV81"/>
    <mergeCell ref="AI7:AJ7"/>
    <mergeCell ref="AI29:AJ29"/>
    <mergeCell ref="AL47:AM47"/>
    <mergeCell ref="AL68:AM68"/>
    <mergeCell ref="CQ113:CQ116"/>
    <mergeCell ref="CR129:CX129"/>
    <mergeCell ref="CQ117:CQ118"/>
    <mergeCell ref="CQ119:CQ120"/>
    <mergeCell ref="CR106:CX106"/>
    <mergeCell ref="CR107:CX107"/>
    <mergeCell ref="CR109:CX109"/>
    <mergeCell ref="CQ110:CQ111"/>
    <mergeCell ref="CR110:CX111"/>
    <mergeCell ref="CT92:CW92"/>
    <mergeCell ref="CQ93:CT93"/>
    <mergeCell ref="CQ96:CX96"/>
    <mergeCell ref="CQ98:CX98"/>
    <mergeCell ref="CS100:CU100"/>
    <mergeCell ref="CR104:CX104"/>
    <mergeCell ref="CQ82:CV82"/>
    <mergeCell ref="CR83:CV83"/>
    <mergeCell ref="CQ85:CW85"/>
    <mergeCell ref="CQ86:CW86"/>
    <mergeCell ref="CS94:CW94"/>
    <mergeCell ref="H48:I48"/>
    <mergeCell ref="H59:I59"/>
    <mergeCell ref="H70:I70"/>
    <mergeCell ref="CS140:CX140"/>
    <mergeCell ref="CQ136:CR136"/>
    <mergeCell ref="CQ137:CR137"/>
    <mergeCell ref="CQ138:CR138"/>
    <mergeCell ref="CQ139:CR139"/>
    <mergeCell ref="CS135:CX135"/>
    <mergeCell ref="CS136:CX136"/>
    <mergeCell ref="CS137:CX137"/>
    <mergeCell ref="CS138:CX138"/>
    <mergeCell ref="CS139:CX139"/>
    <mergeCell ref="CS130:CV130"/>
    <mergeCell ref="CQ131:CQ132"/>
    <mergeCell ref="CR131:CR132"/>
    <mergeCell ref="CS131:CX132"/>
    <mergeCell ref="CR121:CX121"/>
    <mergeCell ref="CR122:CX122"/>
    <mergeCell ref="CR123:CX123"/>
    <mergeCell ref="CR124:CX124"/>
    <mergeCell ref="CR125:CX126"/>
    <mergeCell ref="CR127:CX127"/>
    <mergeCell ref="CS128:CV128"/>
  </mergeCells>
  <conditionalFormatting sqref="B8">
    <cfRule type="expression" dxfId="143" priority="245">
      <formula>$C$8=$K$15</formula>
    </cfRule>
  </conditionalFormatting>
  <conditionalFormatting sqref="B10:B13">
    <cfRule type="expression" dxfId="142" priority="187">
      <formula>$B$9=$K$11</formula>
    </cfRule>
  </conditionalFormatting>
  <conditionalFormatting sqref="B15">
    <cfRule type="expression" dxfId="141" priority="278">
      <formula>$B$15="Falta indicar la hora"</formula>
    </cfRule>
  </conditionalFormatting>
  <conditionalFormatting sqref="B17">
    <cfRule type="expression" dxfId="140" priority="277">
      <formula>$B$17="Falta indicar la hora"</formula>
    </cfRule>
  </conditionalFormatting>
  <conditionalFormatting sqref="B23">
    <cfRule type="expression" dxfId="139" priority="33">
      <formula>$C$23&lt;&gt;""</formula>
    </cfRule>
  </conditionalFormatting>
  <conditionalFormatting sqref="B24">
    <cfRule type="expression" dxfId="138" priority="32">
      <formula>$C$24&lt;&gt;""</formula>
    </cfRule>
  </conditionalFormatting>
  <conditionalFormatting sqref="B25">
    <cfRule type="expression" dxfId="137" priority="31">
      <formula>$C$25&lt;&gt;""</formula>
    </cfRule>
  </conditionalFormatting>
  <conditionalFormatting sqref="B26">
    <cfRule type="expression" dxfId="136" priority="29">
      <formula>$C$26&lt;&gt;""</formula>
    </cfRule>
  </conditionalFormatting>
  <conditionalFormatting sqref="B37">
    <cfRule type="expression" dxfId="135" priority="18">
      <formula>$C$37&lt;&gt;""</formula>
    </cfRule>
  </conditionalFormatting>
  <conditionalFormatting sqref="B38">
    <cfRule type="expression" dxfId="134" priority="17">
      <formula>$C$38&lt;&gt;""</formula>
    </cfRule>
  </conditionalFormatting>
  <conditionalFormatting sqref="B39">
    <cfRule type="expression" dxfId="133" priority="16">
      <formula>$C$39&lt;&gt;""</formula>
    </cfRule>
  </conditionalFormatting>
  <conditionalFormatting sqref="B40">
    <cfRule type="expression" dxfId="132" priority="15">
      <formula>$C$40&lt;&gt;""</formula>
    </cfRule>
  </conditionalFormatting>
  <conditionalFormatting sqref="B48">
    <cfRule type="expression" dxfId="131" priority="14">
      <formula>$C$48&lt;&gt;""</formula>
    </cfRule>
  </conditionalFormatting>
  <conditionalFormatting sqref="B49">
    <cfRule type="expression" dxfId="130" priority="13">
      <formula>$C$49&lt;&gt;""</formula>
    </cfRule>
  </conditionalFormatting>
  <conditionalFormatting sqref="B50">
    <cfRule type="expression" dxfId="129" priority="12">
      <formula>$C$50&lt;&gt;""</formula>
    </cfRule>
  </conditionalFormatting>
  <conditionalFormatting sqref="B51">
    <cfRule type="expression" dxfId="128" priority="11">
      <formula>$C$51&lt;&gt;""</formula>
    </cfRule>
  </conditionalFormatting>
  <conditionalFormatting sqref="B59">
    <cfRule type="expression" dxfId="127" priority="10">
      <formula>$C$59&lt;&gt;""</formula>
    </cfRule>
  </conditionalFormatting>
  <conditionalFormatting sqref="B60">
    <cfRule type="expression" dxfId="126" priority="9">
      <formula>$C$60&lt;&gt;""</formula>
    </cfRule>
  </conditionalFormatting>
  <conditionalFormatting sqref="B61">
    <cfRule type="expression" dxfId="125" priority="8">
      <formula>$C$61&lt;&gt;""</formula>
    </cfRule>
  </conditionalFormatting>
  <conditionalFormatting sqref="B62">
    <cfRule type="expression" dxfId="124" priority="7">
      <formula>$C$62&lt;&gt;""</formula>
    </cfRule>
  </conditionalFormatting>
  <conditionalFormatting sqref="B93">
    <cfRule type="expression" dxfId="123" priority="323">
      <formula>$B$93&lt;&gt;""</formula>
    </cfRule>
  </conditionalFormatting>
  <conditionalFormatting sqref="B9:C9">
    <cfRule type="expression" dxfId="122" priority="205">
      <formula>$B$9=$K$11</formula>
    </cfRule>
  </conditionalFormatting>
  <conditionalFormatting sqref="C6">
    <cfRule type="expression" dxfId="121" priority="256">
      <formula>$C$6&lt;&gt;""</formula>
    </cfRule>
  </conditionalFormatting>
  <conditionalFormatting sqref="C7">
    <cfRule type="expression" dxfId="120" priority="255">
      <formula>$C$7&lt;&gt;""</formula>
    </cfRule>
  </conditionalFormatting>
  <conditionalFormatting sqref="C13">
    <cfRule type="expression" dxfId="119" priority="194">
      <formula>$B$9=$K$11</formula>
    </cfRule>
  </conditionalFormatting>
  <conditionalFormatting sqref="C21">
    <cfRule type="expression" dxfId="118" priority="375">
      <formula>$H$21="Falta indicar las noches"</formula>
    </cfRule>
  </conditionalFormatting>
  <conditionalFormatting sqref="C24">
    <cfRule type="expression" dxfId="117" priority="41">
      <formula>$H$24="Falta indicar las noches"</formula>
    </cfRule>
  </conditionalFormatting>
  <conditionalFormatting sqref="C37">
    <cfRule type="expression" dxfId="116" priority="344">
      <formula>$H$37="Falta indicar las noches"</formula>
    </cfRule>
  </conditionalFormatting>
  <conditionalFormatting sqref="C41:C43">
    <cfRule type="expression" dxfId="115" priority="249">
      <formula>$E$41="Si sólo ha viajado a dos países, cumplimente los datos a partir de la fila C47"</formula>
    </cfRule>
  </conditionalFormatting>
  <conditionalFormatting sqref="C46">
    <cfRule type="expression" dxfId="114" priority="338">
      <formula>$H$46="Falta indicar las noches"</formula>
    </cfRule>
  </conditionalFormatting>
  <conditionalFormatting sqref="C48">
    <cfRule type="expression" dxfId="113" priority="337">
      <formula>$H$48="Falta indicar las noches"</formula>
    </cfRule>
  </conditionalFormatting>
  <conditionalFormatting sqref="C72 G72">
    <cfRule type="expression" dxfId="112" priority="446">
      <formula>$C$72="LIQUIDACIÓN NO VÁLIDA, INDIQUE LA MATRÍCULA"</formula>
    </cfRule>
  </conditionalFormatting>
  <conditionalFormatting sqref="C72">
    <cfRule type="expression" dxfId="111" priority="427">
      <formula>$C$72="ELIJA LA OPCIÓN DEL TRANSPORTE"</formula>
    </cfRule>
  </conditionalFormatting>
  <conditionalFormatting sqref="C10:E10">
    <cfRule type="expression" dxfId="110" priority="201">
      <formula>$B$9=$K$11</formula>
    </cfRule>
  </conditionalFormatting>
  <conditionalFormatting sqref="C12:F12">
    <cfRule type="expression" dxfId="109" priority="197">
      <formula>$B$9=$K$11</formula>
    </cfRule>
  </conditionalFormatting>
  <conditionalFormatting sqref="C87:G87">
    <cfRule type="expression" dxfId="108" priority="301">
      <formula>$C$87&lt;&gt;""</formula>
    </cfRule>
  </conditionalFormatting>
  <conditionalFormatting sqref="C11:H11">
    <cfRule type="expression" dxfId="107" priority="198">
      <formula>$B$9=$K$11</formula>
    </cfRule>
  </conditionalFormatting>
  <conditionalFormatting sqref="D13">
    <cfRule type="expression" dxfId="106" priority="193">
      <formula>$B$9=$K$11</formula>
    </cfRule>
  </conditionalFormatting>
  <conditionalFormatting sqref="D9:F9">
    <cfRule type="expression" dxfId="105" priority="204">
      <formula>$B$9=$K$11</formula>
    </cfRule>
  </conditionalFormatting>
  <conditionalFormatting sqref="D90:H90">
    <cfRule type="expression" dxfId="104" priority="306">
      <formula>$D$90&lt;&gt;""</formula>
    </cfRule>
  </conditionalFormatting>
  <conditionalFormatting sqref="E13">
    <cfRule type="expression" dxfId="103" priority="192">
      <formula>$B$9=$K$11</formula>
    </cfRule>
  </conditionalFormatting>
  <conditionalFormatting sqref="E24:E25">
    <cfRule type="expression" dxfId="102" priority="424" stopIfTrue="1">
      <formula>$I$24</formula>
    </cfRule>
  </conditionalFormatting>
  <conditionalFormatting sqref="E35">
    <cfRule type="expression" dxfId="101" priority="422" stopIfTrue="1">
      <formula>$I$35</formula>
    </cfRule>
  </conditionalFormatting>
  <conditionalFormatting sqref="E37:E40">
    <cfRule type="expression" dxfId="100" priority="397" stopIfTrue="1">
      <formula>$I$37</formula>
    </cfRule>
  </conditionalFormatting>
  <conditionalFormatting sqref="E46">
    <cfRule type="expression" dxfId="99" priority="419" stopIfTrue="1">
      <formula>$I$46</formula>
    </cfRule>
  </conditionalFormatting>
  <conditionalFormatting sqref="E48:E51">
    <cfRule type="expression" dxfId="98" priority="394" stopIfTrue="1">
      <formula>$I$48</formula>
    </cfRule>
  </conditionalFormatting>
  <conditionalFormatting sqref="E57:E58">
    <cfRule type="expression" dxfId="97" priority="416" stopIfTrue="1">
      <formula>$I$57</formula>
    </cfRule>
  </conditionalFormatting>
  <conditionalFormatting sqref="E61">
    <cfRule type="expression" dxfId="96" priority="415" stopIfTrue="1">
      <formula>$I$61</formula>
    </cfRule>
  </conditionalFormatting>
  <conditionalFormatting sqref="E91:H91">
    <cfRule type="expression" dxfId="95" priority="253">
      <formula>$E$91&lt;&gt;D9</formula>
    </cfRule>
  </conditionalFormatting>
  <conditionalFormatting sqref="F10">
    <cfRule type="expression" dxfId="94" priority="200">
      <formula>$B$9=$K$11</formula>
    </cfRule>
  </conditionalFormatting>
  <conditionalFormatting sqref="F13">
    <cfRule type="expression" dxfId="93" priority="191">
      <formula>$B$9=$K$11</formula>
    </cfRule>
  </conditionalFormatting>
  <conditionalFormatting sqref="F52">
    <cfRule type="expression" dxfId="92" priority="217">
      <formula>$F$52="Falta indicar la hora"</formula>
    </cfRule>
  </conditionalFormatting>
  <conditionalFormatting sqref="F54">
    <cfRule type="expression" dxfId="91" priority="216">
      <formula>$F$54="Falta indicar la hora"</formula>
    </cfRule>
  </conditionalFormatting>
  <conditionalFormatting sqref="F30:H30">
    <cfRule type="expression" dxfId="90" priority="230">
      <formula>$F$30="Falta indicar la hora"</formula>
    </cfRule>
  </conditionalFormatting>
  <conditionalFormatting sqref="F32:H32">
    <cfRule type="expression" dxfId="89" priority="228">
      <formula>$F$32="Falta indicar la hora"</formula>
    </cfRule>
  </conditionalFormatting>
  <conditionalFormatting sqref="F41:H41">
    <cfRule type="expression" dxfId="88" priority="219">
      <formula>$F$41="Falta indicar la hora"</formula>
    </cfRule>
  </conditionalFormatting>
  <conditionalFormatting sqref="F43:H43">
    <cfRule type="expression" dxfId="87" priority="218">
      <formula>$F$43="Falta indicar la hora"</formula>
    </cfRule>
  </conditionalFormatting>
  <conditionalFormatting sqref="G9">
    <cfRule type="expression" dxfId="86" priority="203">
      <formula>$B$9=$K$11</formula>
    </cfRule>
  </conditionalFormatting>
  <conditionalFormatting sqref="G12">
    <cfRule type="expression" dxfId="85" priority="196">
      <formula>$B$9=$K$11</formula>
    </cfRule>
  </conditionalFormatting>
  <conditionalFormatting sqref="G10:H10">
    <cfRule type="expression" dxfId="84" priority="199">
      <formula>$B$9=$K$11</formula>
    </cfRule>
  </conditionalFormatting>
  <conditionalFormatting sqref="H9">
    <cfRule type="expression" dxfId="83" priority="202">
      <formula>$B$9=$K$11</formula>
    </cfRule>
  </conditionalFormatting>
  <conditionalFormatting sqref="H12">
    <cfRule type="expression" dxfId="82" priority="195">
      <formula>$B$9=$K$11</formula>
    </cfRule>
  </conditionalFormatting>
  <conditionalFormatting sqref="H25">
    <cfRule type="expression" dxfId="81" priority="423" stopIfTrue="1">
      <formula>$H$25=$K$13</formula>
    </cfRule>
  </conditionalFormatting>
  <conditionalFormatting sqref="H37">
    <cfRule type="expression" dxfId="80" priority="420" stopIfTrue="1">
      <formula>$H$37="Falta indicar las noches"</formula>
    </cfRule>
  </conditionalFormatting>
  <conditionalFormatting sqref="H48">
    <cfRule type="expression" dxfId="79" priority="417" stopIfTrue="1">
      <formula>$H$48="Falta indicar las noches"</formula>
    </cfRule>
  </conditionalFormatting>
  <conditionalFormatting sqref="H62">
    <cfRule type="expression" dxfId="78" priority="383">
      <formula>$H$62="Pagos a Terceros"</formula>
    </cfRule>
    <cfRule type="expression" dxfId="77" priority="384" stopIfTrue="1">
      <formula>$H$62="Falta indicar las noches"</formula>
    </cfRule>
  </conditionalFormatting>
  <conditionalFormatting sqref="H21:I21">
    <cfRule type="expression" dxfId="76" priority="208">
      <formula>$H$21=$K$14</formula>
    </cfRule>
  </conditionalFormatting>
  <conditionalFormatting sqref="H22:I22">
    <cfRule type="expression" dxfId="75" priority="239">
      <formula>$H$22=$M$22</formula>
    </cfRule>
    <cfRule type="expression" dxfId="74" priority="240">
      <formula>$H$22=$K$14</formula>
    </cfRule>
  </conditionalFormatting>
  <conditionalFormatting sqref="H35:I35">
    <cfRule type="expression" dxfId="73" priority="207">
      <formula>$H$35=$K$14</formula>
    </cfRule>
  </conditionalFormatting>
  <conditionalFormatting sqref="H36:I36">
    <cfRule type="expression" dxfId="72" priority="234">
      <formula>$H$36=$M$22</formula>
    </cfRule>
    <cfRule type="expression" dxfId="71" priority="236">
      <formula>$H$36=$K$14</formula>
    </cfRule>
  </conditionalFormatting>
  <conditionalFormatting sqref="H39:I39">
    <cfRule type="expression" dxfId="70" priority="233">
      <formula>$H$39=$K$13</formula>
    </cfRule>
  </conditionalFormatting>
  <conditionalFormatting sqref="H46:I46">
    <cfRule type="expression" dxfId="69" priority="223">
      <formula>$H$46=$K$14</formula>
    </cfRule>
  </conditionalFormatting>
  <conditionalFormatting sqref="H47:I47">
    <cfRule type="expression" dxfId="68" priority="221">
      <formula>$H$47=$M$22</formula>
    </cfRule>
    <cfRule type="expression" dxfId="67" priority="222">
      <formula>$H$47=$K$14</formula>
    </cfRule>
  </conditionalFormatting>
  <conditionalFormatting sqref="H50:I50">
    <cfRule type="expression" dxfId="66" priority="226">
      <formula>$H$50=$K$13</formula>
    </cfRule>
  </conditionalFormatting>
  <conditionalFormatting sqref="H57:I57">
    <cfRule type="expression" dxfId="65" priority="206">
      <formula>$H$57=$K$14</formula>
    </cfRule>
  </conditionalFormatting>
  <conditionalFormatting sqref="H58:I58">
    <cfRule type="expression" dxfId="64" priority="213">
      <formula>$H$58=$K$14</formula>
    </cfRule>
    <cfRule type="expression" dxfId="63" priority="211">
      <formula>$H$58=$M$22</formula>
    </cfRule>
  </conditionalFormatting>
  <conditionalFormatting sqref="H61:I61">
    <cfRule type="expression" dxfId="62" priority="210">
      <formula>$H$61=$K$13</formula>
    </cfRule>
  </conditionalFormatting>
  <conditionalFormatting sqref="CQ10:CQ13">
    <cfRule type="expression" dxfId="61" priority="67">
      <formula>$B$9=$K$11</formula>
    </cfRule>
  </conditionalFormatting>
  <conditionalFormatting sqref="CQ15">
    <cfRule type="expression" dxfId="60" priority="138">
      <formula>$B$15="Falta indicar la hora"</formula>
    </cfRule>
  </conditionalFormatting>
  <conditionalFormatting sqref="CQ17">
    <cfRule type="expression" dxfId="59" priority="137">
      <formula>$B$17="Falta indicar la hora"</formula>
    </cfRule>
  </conditionalFormatting>
  <conditionalFormatting sqref="CQ93">
    <cfRule type="expression" dxfId="58" priority="142">
      <formula>$B$93&lt;&gt;""</formula>
    </cfRule>
  </conditionalFormatting>
  <conditionalFormatting sqref="CR13">
    <cfRule type="expression" dxfId="57" priority="71">
      <formula>$B$9=$K$11</formula>
    </cfRule>
  </conditionalFormatting>
  <conditionalFormatting sqref="CR41:CR43">
    <cfRule type="expression" dxfId="56" priority="122">
      <formula>$E$41="Si sólo ha viajado a dos países, cumplimente los datos a partir de la fila C47"</formula>
    </cfRule>
  </conditionalFormatting>
  <conditionalFormatting sqref="CR72 CV72">
    <cfRule type="expression" dxfId="55" priority="172">
      <formula>$C$72="LIQUIDACIÓN NO VÁLIDA, INDIQUE LA MATRÍCULA"</formula>
    </cfRule>
  </conditionalFormatting>
  <conditionalFormatting sqref="CR72">
    <cfRule type="expression" dxfId="54" priority="171">
      <formula>$C$72="ELIJA LA OPCIÓN DEL TRANSPORTE"</formula>
    </cfRule>
  </conditionalFormatting>
  <conditionalFormatting sqref="CR10:CT10">
    <cfRule type="expression" dxfId="53" priority="78">
      <formula>$B$9=$K$11</formula>
    </cfRule>
  </conditionalFormatting>
  <conditionalFormatting sqref="CR12:CU12">
    <cfRule type="expression" dxfId="52" priority="74">
      <formula>$B$9=$K$11</formula>
    </cfRule>
  </conditionalFormatting>
  <conditionalFormatting sqref="CR87:CV87">
    <cfRule type="expression" dxfId="51" priority="140">
      <formula>$C$87&lt;&gt;""</formula>
    </cfRule>
  </conditionalFormatting>
  <conditionalFormatting sqref="CR11:CW11">
    <cfRule type="expression" dxfId="50" priority="75">
      <formula>$B$9=$K$11</formula>
    </cfRule>
  </conditionalFormatting>
  <conditionalFormatting sqref="CS13">
    <cfRule type="expression" dxfId="49" priority="70">
      <formula>$B$9=$K$11</formula>
    </cfRule>
  </conditionalFormatting>
  <conditionalFormatting sqref="CS9:CU9">
    <cfRule type="expression" dxfId="48" priority="81">
      <formula>$B$9=$K$11</formula>
    </cfRule>
  </conditionalFormatting>
  <conditionalFormatting sqref="CT13">
    <cfRule type="expression" dxfId="47" priority="69">
      <formula>$B$9=$K$11</formula>
    </cfRule>
  </conditionalFormatting>
  <conditionalFormatting sqref="CU10">
    <cfRule type="expression" dxfId="46" priority="77">
      <formula>$B$9=$K$11</formula>
    </cfRule>
  </conditionalFormatting>
  <conditionalFormatting sqref="CU13">
    <cfRule type="expression" dxfId="45" priority="68">
      <formula>$B$9=$K$11</formula>
    </cfRule>
  </conditionalFormatting>
  <conditionalFormatting sqref="CU52">
    <cfRule type="expression" dxfId="44" priority="93">
      <formula>$F$52="Falta indicar la hora"</formula>
    </cfRule>
  </conditionalFormatting>
  <conditionalFormatting sqref="CU54">
    <cfRule type="expression" dxfId="43" priority="92">
      <formula>$F$54="Falta indicar la hora"</formula>
    </cfRule>
  </conditionalFormatting>
  <conditionalFormatting sqref="CU30:CW30">
    <cfRule type="expression" dxfId="42" priority="105">
      <formula>$F$30="Falta indicar la hora"</formula>
    </cfRule>
  </conditionalFormatting>
  <conditionalFormatting sqref="CU32:CW32">
    <cfRule type="expression" dxfId="41" priority="103">
      <formula>$F$32="Falta indicar la hora"</formula>
    </cfRule>
  </conditionalFormatting>
  <conditionalFormatting sqref="CU41:CW41">
    <cfRule type="expression" dxfId="40" priority="95">
      <formula>$F$41="Falta indicar la hora"</formula>
    </cfRule>
  </conditionalFormatting>
  <conditionalFormatting sqref="CU43:CW43">
    <cfRule type="expression" dxfId="39" priority="94">
      <formula>$F$43="Falta indicar la hora"</formula>
    </cfRule>
  </conditionalFormatting>
  <conditionalFormatting sqref="CV9">
    <cfRule type="expression" dxfId="38" priority="80">
      <formula>$B$9=$K$11</formula>
    </cfRule>
  </conditionalFormatting>
  <conditionalFormatting sqref="CV12">
    <cfRule type="expression" dxfId="37" priority="73">
      <formula>$B$9=$K$11</formula>
    </cfRule>
  </conditionalFormatting>
  <conditionalFormatting sqref="CV10:CW10">
    <cfRule type="expression" dxfId="36" priority="76">
      <formula>$B$9=$K$11</formula>
    </cfRule>
  </conditionalFormatting>
  <conditionalFormatting sqref="CW9">
    <cfRule type="expression" dxfId="35" priority="79">
      <formula>$B$9=$K$11</formula>
    </cfRule>
  </conditionalFormatting>
  <conditionalFormatting sqref="CW12">
    <cfRule type="expression" dxfId="34" priority="72">
      <formula>$B$9=$K$11</formula>
    </cfRule>
  </conditionalFormatting>
  <conditionalFormatting sqref="CW25">
    <cfRule type="expression" dxfId="33" priority="169" stopIfTrue="1">
      <formula>$H$25=$K$13</formula>
    </cfRule>
  </conditionalFormatting>
  <conditionalFormatting sqref="CW37">
    <cfRule type="expression" dxfId="32" priority="166" stopIfTrue="1">
      <formula>$H$37="Falta indicar las noches"</formula>
    </cfRule>
  </conditionalFormatting>
  <conditionalFormatting sqref="CW48">
    <cfRule type="expression" dxfId="31" priority="163" stopIfTrue="1">
      <formula>$H$48="Falta indicar las noches"</formula>
    </cfRule>
  </conditionalFormatting>
  <conditionalFormatting sqref="CW62">
    <cfRule type="expression" dxfId="30" priority="158" stopIfTrue="1">
      <formula>$H$62="Falta indicar las noches"</formula>
    </cfRule>
    <cfRule type="expression" dxfId="29" priority="157">
      <formula>$H$62="Pagos a Terceros"</formula>
    </cfRule>
  </conditionalFormatting>
  <conditionalFormatting sqref="CW22:CX22">
    <cfRule type="expression" dxfId="28" priority="113">
      <formula>$H$22=$M$22</formula>
    </cfRule>
    <cfRule type="expression" dxfId="27" priority="114">
      <formula>$H$22=$K$14</formula>
    </cfRule>
  </conditionalFormatting>
  <conditionalFormatting sqref="CW35:CX35">
    <cfRule type="expression" dxfId="26" priority="84">
      <formula>$H$35=$K$14</formula>
    </cfRule>
  </conditionalFormatting>
  <conditionalFormatting sqref="CW36:CX36">
    <cfRule type="expression" dxfId="25" priority="108">
      <formula>$H$36=$M$22</formula>
    </cfRule>
    <cfRule type="expression" dxfId="24" priority="110">
      <formula>$H$36=$K$14</formula>
    </cfRule>
  </conditionalFormatting>
  <conditionalFormatting sqref="CW39:CX39">
    <cfRule type="expression" dxfId="23" priority="107">
      <formula>$H$39=$K$13</formula>
    </cfRule>
  </conditionalFormatting>
  <conditionalFormatting sqref="CW46:CX46">
    <cfRule type="expression" dxfId="22" priority="99">
      <formula>$H$46=$K$14</formula>
    </cfRule>
  </conditionalFormatting>
  <conditionalFormatting sqref="CW47:CX47">
    <cfRule type="expression" dxfId="21" priority="97">
      <formula>$H$47=$M$22</formula>
    </cfRule>
    <cfRule type="expression" dxfId="20" priority="98">
      <formula>$H$47=$K$14</formula>
    </cfRule>
  </conditionalFormatting>
  <conditionalFormatting sqref="CW50:CX50">
    <cfRule type="expression" dxfId="19" priority="101">
      <formula>$H$50=$K$13</formula>
    </cfRule>
  </conditionalFormatting>
  <conditionalFormatting sqref="CW57:CX57">
    <cfRule type="expression" dxfId="18" priority="83">
      <formula>$H$57=$K$14</formula>
    </cfRule>
  </conditionalFormatting>
  <conditionalFormatting sqref="CW58:CX58">
    <cfRule type="expression" dxfId="17" priority="90">
      <formula>$H$58=$K$14</formula>
    </cfRule>
    <cfRule type="expression" dxfId="16" priority="88">
      <formula>$H$58=$M$22</formula>
    </cfRule>
  </conditionalFormatting>
  <conditionalFormatting sqref="CW61:CX61">
    <cfRule type="expression" dxfId="15" priority="87">
      <formula>$H$61=$K$13</formula>
    </cfRule>
  </conditionalFormatting>
  <dataValidations count="17">
    <dataValidation type="list" allowBlank="1" showInputMessage="1" showErrorMessage="1" sqref="D44:E44 D55:E55 D33:E33" xr:uid="{00000000-0002-0000-0800-000000000000}">
      <formula1>PAISES</formula1>
    </dataValidation>
    <dataValidation type="list" allowBlank="1" showInputMessage="1" showErrorMessage="1" sqref="C68:C71 E68:E71" xr:uid="{00000000-0002-0000-0800-000001000000}">
      <formula1>$L$80:$L$91</formula1>
    </dataValidation>
    <dataValidation allowBlank="1" showInputMessage="1" showErrorMessage="1" prompt="Pagos a Terceros_x000a__x000a_Cuando el Servicio de Fiscalización paga el congreso." sqref="H75" xr:uid="{00000000-0002-0000-0800-000002000000}"/>
    <dataValidation type="list" allowBlank="1" showInputMessage="1" showErrorMessage="1" errorTitle="ATENCIÓN" error="DEBE ELEGIR UNA OPCIÓN" sqref="B8" xr:uid="{00000000-0002-0000-0800-000003000000}">
      <formula1>$K$1:$K$4</formula1>
    </dataValidation>
    <dataValidation type="date" allowBlank="1" showInputMessage="1" showErrorMessage="1" errorTitle="ATENCIÓN" error="DEBE UTILIZAR EL FORMATO DE FECHA DD/MM/AAAA_x000a_EJEMPLO: 01/01/2017" sqref="C31 C42 C16 C53" xr:uid="{00000000-0002-0000-0800-000004000000}">
      <formula1>$C$135</formula1>
      <formula2>$C$136</formula2>
    </dataValidation>
    <dataValidation type="time" allowBlank="1" showInputMessage="1" showErrorMessage="1" errorTitle="ATENCIÓN" error="DEBE UTILIZAR EL FORMATO DE HORA hh:mm_x000a_EJEMPLO: 21:30" sqref="E31 E42 D16 E53" xr:uid="{00000000-0002-0000-0800-000005000000}">
      <formula1>$D$135</formula1>
      <formula2>$D$136</formula2>
    </dataValidation>
    <dataValidation type="list" allowBlank="1" showInputMessage="1" showErrorMessage="1" sqref="D76:E76 C81:D81" xr:uid="{00000000-0002-0000-0800-000006000000}">
      <formula1>$N$80:$N$82</formula1>
    </dataValidation>
    <dataValidation type="date" allowBlank="1" showInputMessage="1" showErrorMessage="1" errorTitle="ATENCIÓN" error="DEBE UTILIZAR EL FORMATO DE FECHA DD/MM/AAAA_x000a_EJEMPLO: 01/01/2017" sqref="C17 C15 C30 C32 C41 C43 C52 C54" xr:uid="{00000000-0002-0000-0800-000007000000}">
      <formula1>$K$8</formula1>
      <formula2>$K$9</formula2>
    </dataValidation>
    <dataValidation type="time" allowBlank="1" showInputMessage="1" showErrorMessage="1" errorTitle="ATENCIÓN" error="DEBE UTILIZAR EL FORMATO DE HORA hh:mm_x000a_EJEMPLO:14:30" sqref="D15 E30 E41 E52" xr:uid="{00000000-0002-0000-0800-000008000000}">
      <formula1>$L$8</formula1>
      <formula2>$L$9</formula2>
    </dataValidation>
    <dataValidation type="time" allowBlank="1" showInputMessage="1" showErrorMessage="1" errorTitle="ATENCIÓN" error="DEBE UTILIZAR EL FORMATO DE HORA hh:mm_x000a_EJEMPLO: 24:35_x000a_" sqref="E54" xr:uid="{00000000-0002-0000-0800-000009000000}">
      <formula1>L8</formula1>
      <formula2>L9</formula2>
    </dataValidation>
    <dataValidation type="date" allowBlank="1" showInputMessage="1" showErrorMessage="1" errorTitle="ATENCIÓN" error="DEBE UTILIZAR EL FORMATO DE FECHA DD/MM/AAAA_x000a_EJEMPLO: 01/01/2017" sqref="D13" xr:uid="{00000000-0002-0000-0800-00000A000000}">
      <formula1>K8</formula1>
      <formula2>K9</formula2>
    </dataValidation>
    <dataValidation type="date" allowBlank="1" showInputMessage="1" showErrorMessage="1" errorTitle="ATENCIÓN" error="DEBE UTILIZAR EL FORMATO DE FECHA DD/MM/AAAA_x000a_EJEMPLO: 01/01/2017" sqref="F13" xr:uid="{00000000-0002-0000-0800-00000B000000}">
      <formula1>K8</formula1>
      <formula2>K9</formula2>
    </dataValidation>
    <dataValidation type="time" allowBlank="1" showInputMessage="1" showErrorMessage="1" errorTitle="ATENCIÓN" error="DEBE UTILIZAR EL FORMATO DE HORA hh:mm_x000a_EJEMPLO: 24:35_x000a_" sqref="D17" xr:uid="{00000000-0002-0000-0800-00000C000000}">
      <formula1>L8</formula1>
      <formula2>L9</formula2>
    </dataValidation>
    <dataValidation type="time" allowBlank="1" showInputMessage="1" showErrorMessage="1" errorTitle="ATENCIÓN" error="DEBE UTILIZAR EL FORMATO DE HORA hh:mm_x000a_EJEMPLO: 24:35_x000a_" sqref="E32" xr:uid="{00000000-0002-0000-0800-00000D000000}">
      <formula1>L8</formula1>
      <formula2>L9</formula2>
    </dataValidation>
    <dataValidation type="time" allowBlank="1" showInputMessage="1" showErrorMessage="1" errorTitle="ATENCIÓN" error="DEBE UTILIZAR EL FORMATO DE HORA hh:mm_x000a_EJEMPLO: 24:35_x000a_" sqref="E43" xr:uid="{00000000-0002-0000-0800-00000E000000}">
      <formula1>L8</formula1>
      <formula2>L9</formula2>
    </dataValidation>
    <dataValidation type="decimal" allowBlank="1" showInputMessage="1" showErrorMessage="1" errorTitle="ERROR" error="Puede que haya introducido un formato no válido o el número tenga un valor muy alto." sqref="F74:G75" xr:uid="{00000000-0002-0000-0800-00000F000000}">
      <formula1>$L$74</formula1>
      <formula2>$L$75</formula2>
    </dataValidation>
    <dataValidation type="whole" allowBlank="1" showInputMessage="1" showErrorMessage="1" errorTitle="ATENCIÓN" error="NO ESCRIBIR CERO NI NÚMEROS DECIMALES, CANCELAR PARA ELIMINAR" sqref="C45:C51 C20:C26 C34:C40 C56:C62" xr:uid="{00000000-0002-0000-0800-000010000000}">
      <formula1>$L$71</formula1>
      <formula2>$L$72</formula2>
    </dataValidation>
  </dataValidations>
  <hyperlinks>
    <hyperlink ref="C65:C66" location="KM!A1" display="Consulta de KM" xr:uid="{00000000-0004-0000-0800-000000000000}"/>
    <hyperlink ref="D18" location="'AYUDA DE DIETAS'!B74" display="consultar" xr:uid="{00000000-0004-0000-0800-000001000000}"/>
    <hyperlink ref="G13" location="'AYUDA DE DIETAS'!B74" display="consultar" xr:uid="{00000000-0004-0000-0800-000002000000}"/>
    <hyperlink ref="E66:F66" r:id="rId1" display="(Consultar)" xr:uid="{00000000-0004-0000-0800-000003000000}"/>
    <hyperlink ref="H23" location="GLOBALIA!A1" display="Cálculo de Globalia" xr:uid="{00000000-0004-0000-0800-000004000000}"/>
    <hyperlink ref="H37" location="GLOBALIA!A1" display="Cálculo de Globalia" xr:uid="{00000000-0004-0000-0800-000005000000}"/>
    <hyperlink ref="H48" location="GLOBALIA!A1" display="Cálculo de Globalia" xr:uid="{00000000-0004-0000-0800-000006000000}"/>
    <hyperlink ref="H59" location="GLOBALIA!A1" display="Cálculo de Globalia" xr:uid="{00000000-0004-0000-0800-000007000000}"/>
    <hyperlink ref="H70" location="GLOBALIA!A1" display="Cálculo de Globalia" xr:uid="{00000000-0004-0000-0800-000008000000}"/>
    <hyperlink ref="H23:I23" location="GLOBALIA!A1" display="Haga Clic para el cálculo de Globalia" xr:uid="{00000000-0004-0000-0800-000009000000}"/>
    <hyperlink ref="H37:I37" location="GLOBALIA!A1" display="Haga Clic para el cálculo de Globalia" xr:uid="{00000000-0004-0000-0800-00000A000000}"/>
    <hyperlink ref="H48:I48" location="GLOBALIA!A1" display="Haga Clic para el cálculo de Globalia" xr:uid="{00000000-0004-0000-0800-00000B000000}"/>
    <hyperlink ref="H59:I59" location="GLOBALIA!A1" display="Haga Clic para el cálculo de Globalia" xr:uid="{00000000-0004-0000-0800-00000C000000}"/>
    <hyperlink ref="H70:I70" location="GLOBALIA!A1" display="Haga Clic para el cálculo de Globalia" xr:uid="{00000000-0004-0000-0800-00000D000000}"/>
  </hyperlinks>
  <printOptions horizontalCentered="1" verticalCentered="1"/>
  <pageMargins left="0" right="0" top="0" bottom="0" header="0" footer="0"/>
  <pageSetup paperSize="9" scale="60" orientation="portrait" blackAndWhite="1" r:id="rId2"/>
  <rowBreaks count="2" manualBreakCount="2">
    <brk id="94" max="7" man="1"/>
    <brk id="97" min="94" max="101" man="1"/>
  </rowBreaks>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
    <tabColor indexed="53"/>
  </sheetPr>
  <dimension ref="A2:C25"/>
  <sheetViews>
    <sheetView showGridLines="0" workbookViewId="0">
      <selection activeCell="F67" sqref="F67"/>
    </sheetView>
  </sheetViews>
  <sheetFormatPr baseColWidth="10" defaultColWidth="11.44140625" defaultRowHeight="13.2" x14ac:dyDescent="0.25"/>
  <cols>
    <col min="1" max="1" width="80" customWidth="1"/>
  </cols>
  <sheetData>
    <row r="2" spans="1:1" x14ac:dyDescent="0.25">
      <c r="A2" s="3" t="s">
        <v>901</v>
      </c>
    </row>
    <row r="4" spans="1:1" ht="26.4" x14ac:dyDescent="0.25">
      <c r="A4" s="5" t="s">
        <v>902</v>
      </c>
    </row>
    <row r="6" spans="1:1" x14ac:dyDescent="0.25">
      <c r="A6" t="s">
        <v>903</v>
      </c>
    </row>
    <row r="8" spans="1:1" ht="39.6" x14ac:dyDescent="0.25">
      <c r="A8" s="4" t="s">
        <v>904</v>
      </c>
    </row>
    <row r="10" spans="1:1" ht="39.6" x14ac:dyDescent="0.25">
      <c r="A10" s="4" t="s">
        <v>905</v>
      </c>
    </row>
    <row r="12" spans="1:1" ht="118.8" x14ac:dyDescent="0.25">
      <c r="A12" s="4" t="s">
        <v>906</v>
      </c>
    </row>
    <row r="14" spans="1:1" ht="39.6" x14ac:dyDescent="0.25">
      <c r="A14" s="5" t="s">
        <v>907</v>
      </c>
    </row>
    <row r="17" spans="1:3" ht="39.6" x14ac:dyDescent="0.25">
      <c r="A17" s="4" t="s">
        <v>908</v>
      </c>
    </row>
    <row r="19" spans="1:3" x14ac:dyDescent="0.25">
      <c r="C19" s="2"/>
    </row>
    <row r="20" spans="1:3" ht="39.6" x14ac:dyDescent="0.25">
      <c r="A20" s="4" t="s">
        <v>909</v>
      </c>
    </row>
    <row r="22" spans="1:3" ht="26.4" x14ac:dyDescent="0.25">
      <c r="A22" s="5" t="s">
        <v>910</v>
      </c>
    </row>
    <row r="24" spans="1:3" x14ac:dyDescent="0.25">
      <c r="A24" t="s">
        <v>911</v>
      </c>
    </row>
    <row r="25" spans="1:3" x14ac:dyDescent="0.25">
      <c r="A25" t="s">
        <v>912</v>
      </c>
    </row>
  </sheetData>
  <phoneticPr fontId="0" type="noConversion"/>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L94"/>
  <sheetViews>
    <sheetView showGridLines="0" zoomScale="180" zoomScaleNormal="180" workbookViewId="0">
      <selection activeCell="AC18" sqref="AC18"/>
    </sheetView>
  </sheetViews>
  <sheetFormatPr baseColWidth="10" defaultColWidth="11.44140625" defaultRowHeight="13.2" x14ac:dyDescent="0.25"/>
  <cols>
    <col min="2" max="4" width="0" hidden="1" customWidth="1"/>
    <col min="5" max="5" width="13.6640625" hidden="1" customWidth="1"/>
    <col min="6" max="10" width="0" hidden="1" customWidth="1"/>
    <col min="11" max="11" width="12.33203125" hidden="1" customWidth="1"/>
    <col min="12" max="12" width="18.44140625" hidden="1" customWidth="1"/>
  </cols>
  <sheetData>
    <row r="1" spans="1:11" ht="13.2" customHeight="1" x14ac:dyDescent="0.25">
      <c r="A1" s="1765"/>
      <c r="B1" s="1765"/>
      <c r="C1" s="1765"/>
      <c r="D1" s="1765"/>
      <c r="E1" s="1765"/>
      <c r="F1" s="1765"/>
      <c r="G1" s="1765"/>
      <c r="H1" s="1765"/>
      <c r="I1" s="1765"/>
      <c r="J1" s="1765"/>
      <c r="K1" s="1765"/>
    </row>
    <row r="3" spans="1:11" ht="13.8" x14ac:dyDescent="0.25">
      <c r="A3" s="114"/>
      <c r="B3" s="3" t="s">
        <v>913</v>
      </c>
    </row>
    <row r="5" spans="1:11" x14ac:dyDescent="0.25">
      <c r="B5" s="67" t="s">
        <v>914</v>
      </c>
      <c r="K5" s="329" t="s">
        <v>915</v>
      </c>
    </row>
    <row r="6" spans="1:11" x14ac:dyDescent="0.25">
      <c r="B6" s="67" t="s">
        <v>916</v>
      </c>
    </row>
    <row r="7" spans="1:11" ht="13.2" customHeight="1" x14ac:dyDescent="0.25">
      <c r="A7" s="115"/>
      <c r="B7" s="330" t="s">
        <v>917</v>
      </c>
      <c r="C7" s="115"/>
      <c r="D7" s="115"/>
      <c r="E7" s="115"/>
      <c r="F7" s="115"/>
      <c r="G7" s="115"/>
      <c r="H7" s="115"/>
      <c r="I7" s="115"/>
      <c r="J7" s="115"/>
      <c r="K7" s="115"/>
    </row>
    <row r="8" spans="1:11" ht="13.2" customHeight="1" x14ac:dyDescent="0.25">
      <c r="A8" s="115"/>
      <c r="B8" s="330" t="s">
        <v>918</v>
      </c>
      <c r="C8" s="115"/>
      <c r="D8" s="115"/>
      <c r="E8" s="115"/>
      <c r="F8" s="115"/>
      <c r="G8" s="115"/>
      <c r="H8" s="115"/>
      <c r="I8" s="115"/>
      <c r="J8" s="115"/>
      <c r="K8" s="115"/>
    </row>
    <row r="9" spans="1:11" ht="13.2" customHeight="1" x14ac:dyDescent="0.25">
      <c r="A9" s="115"/>
      <c r="B9" s="115"/>
      <c r="C9" s="115"/>
      <c r="D9" s="115"/>
      <c r="E9" s="115"/>
      <c r="F9" s="115"/>
      <c r="G9" s="115"/>
      <c r="H9" s="115"/>
      <c r="I9" s="115"/>
      <c r="J9" s="115"/>
      <c r="K9" s="115"/>
    </row>
    <row r="10" spans="1:11" x14ac:dyDescent="0.25">
      <c r="A10" s="116"/>
      <c r="B10" s="3" t="s">
        <v>919</v>
      </c>
    </row>
    <row r="12" spans="1:11" x14ac:dyDescent="0.25">
      <c r="B12" s="67" t="s">
        <v>920</v>
      </c>
    </row>
    <row r="13" spans="1:11" x14ac:dyDescent="0.25">
      <c r="B13" s="67" t="s">
        <v>921</v>
      </c>
    </row>
    <row r="14" spans="1:11" x14ac:dyDescent="0.25">
      <c r="B14" s="67"/>
    </row>
    <row r="15" spans="1:11" x14ac:dyDescent="0.25">
      <c r="B15" s="3" t="s">
        <v>922</v>
      </c>
    </row>
    <row r="16" spans="1:11" x14ac:dyDescent="0.25">
      <c r="B16" s="3" t="s">
        <v>923</v>
      </c>
    </row>
    <row r="17" spans="1:12" x14ac:dyDescent="0.25">
      <c r="B17" s="67" t="s">
        <v>924</v>
      </c>
    </row>
    <row r="18" spans="1:12" x14ac:dyDescent="0.25">
      <c r="B18" s="67" t="s">
        <v>925</v>
      </c>
    </row>
    <row r="19" spans="1:12" x14ac:dyDescent="0.25">
      <c r="B19" s="67" t="s">
        <v>926</v>
      </c>
    </row>
    <row r="20" spans="1:12" x14ac:dyDescent="0.25">
      <c r="B20" s="67" t="s">
        <v>927</v>
      </c>
    </row>
    <row r="22" spans="1:12" x14ac:dyDescent="0.25">
      <c r="B22" s="3" t="s">
        <v>928</v>
      </c>
      <c r="F22" s="338"/>
      <c r="G22" s="1767" t="s">
        <v>929</v>
      </c>
      <c r="H22" s="1767"/>
      <c r="I22" s="1767"/>
    </row>
    <row r="24" spans="1:12" x14ac:dyDescent="0.25">
      <c r="B24" s="67" t="s">
        <v>930</v>
      </c>
    </row>
    <row r="25" spans="1:12" x14ac:dyDescent="0.25">
      <c r="B25" s="67" t="s">
        <v>931</v>
      </c>
    </row>
    <row r="27" spans="1:12" x14ac:dyDescent="0.25">
      <c r="B27" s="67" t="s">
        <v>932</v>
      </c>
    </row>
    <row r="28" spans="1:12" x14ac:dyDescent="0.25">
      <c r="B28" s="67" t="s">
        <v>933</v>
      </c>
    </row>
    <row r="29" spans="1:12" x14ac:dyDescent="0.25">
      <c r="B29" s="67" t="s">
        <v>934</v>
      </c>
    </row>
    <row r="30" spans="1:12" x14ac:dyDescent="0.25">
      <c r="A30" s="7"/>
      <c r="B30" s="15"/>
      <c r="C30" s="7"/>
      <c r="D30" s="7"/>
      <c r="E30" s="7"/>
      <c r="F30" s="7"/>
      <c r="G30" s="7"/>
      <c r="H30" s="7"/>
      <c r="I30" s="7"/>
      <c r="J30" s="7"/>
      <c r="K30" s="7"/>
      <c r="L30" s="7"/>
    </row>
    <row r="31" spans="1:12" x14ac:dyDescent="0.25">
      <c r="A31" s="7"/>
      <c r="B31" s="15" t="s">
        <v>935</v>
      </c>
      <c r="C31" s="7"/>
      <c r="D31" s="7"/>
      <c r="E31" s="7"/>
      <c r="F31" s="7"/>
      <c r="G31" s="7"/>
      <c r="H31" s="7"/>
      <c r="I31" s="7"/>
      <c r="J31" s="7"/>
      <c r="K31" s="7"/>
      <c r="L31" s="7"/>
    </row>
    <row r="32" spans="1:12" x14ac:dyDescent="0.25">
      <c r="A32" s="7"/>
      <c r="B32" s="15" t="s">
        <v>936</v>
      </c>
      <c r="C32" s="7"/>
      <c r="D32" s="7"/>
      <c r="E32" s="7"/>
      <c r="F32" s="7"/>
      <c r="G32" s="7"/>
      <c r="H32" s="7"/>
      <c r="I32" s="7"/>
      <c r="J32" s="7"/>
      <c r="K32" s="7"/>
      <c r="L32" s="7"/>
    </row>
    <row r="33" spans="1:12" x14ac:dyDescent="0.25">
      <c r="A33" s="7"/>
      <c r="B33" s="15" t="s">
        <v>937</v>
      </c>
      <c r="C33" s="7"/>
      <c r="D33" s="7"/>
      <c r="E33" s="7"/>
      <c r="F33" s="7"/>
      <c r="G33" s="7"/>
      <c r="H33" s="7"/>
      <c r="I33" s="7"/>
      <c r="J33" s="7"/>
      <c r="K33" s="7"/>
      <c r="L33" s="7"/>
    </row>
    <row r="34" spans="1:12" x14ac:dyDescent="0.25">
      <c r="A34" s="7"/>
      <c r="B34" s="15"/>
      <c r="C34" s="7"/>
      <c r="D34" s="7"/>
      <c r="E34" s="7"/>
      <c r="F34" s="7"/>
      <c r="G34" s="7"/>
      <c r="H34" s="7"/>
      <c r="I34" s="7"/>
      <c r="J34" s="7"/>
      <c r="K34" s="7"/>
      <c r="L34" s="7"/>
    </row>
    <row r="35" spans="1:12" x14ac:dyDescent="0.25">
      <c r="A35" s="7"/>
      <c r="B35" s="15"/>
      <c r="C35" s="7"/>
      <c r="D35" s="7"/>
      <c r="E35" s="7"/>
      <c r="F35" s="7"/>
      <c r="G35" s="7"/>
      <c r="H35" s="7"/>
      <c r="I35" s="7"/>
      <c r="J35" s="7"/>
      <c r="K35" s="7"/>
      <c r="L35" s="7"/>
    </row>
    <row r="36" spans="1:12" x14ac:dyDescent="0.25">
      <c r="A36" s="7"/>
      <c r="B36" s="15"/>
      <c r="C36" s="7"/>
      <c r="D36" s="7"/>
      <c r="E36" s="7"/>
      <c r="F36" s="7"/>
      <c r="G36" s="7"/>
      <c r="H36" s="7"/>
      <c r="I36" s="7"/>
      <c r="J36" s="7"/>
      <c r="K36" s="7"/>
      <c r="L36" s="7"/>
    </row>
    <row r="37" spans="1:12" x14ac:dyDescent="0.25">
      <c r="A37" s="7"/>
      <c r="B37" s="15"/>
      <c r="C37" s="7"/>
      <c r="D37" s="7"/>
      <c r="E37" s="7"/>
      <c r="F37" s="7"/>
      <c r="G37" s="7"/>
      <c r="H37" s="7"/>
      <c r="I37" s="7"/>
      <c r="J37" s="7"/>
      <c r="K37" s="7"/>
      <c r="L37" s="7"/>
    </row>
    <row r="38" spans="1:12" x14ac:dyDescent="0.25">
      <c r="A38" s="7"/>
      <c r="B38" s="15"/>
      <c r="C38" s="7"/>
      <c r="D38" s="7"/>
      <c r="E38" s="7"/>
      <c r="F38" s="7"/>
      <c r="G38" s="7"/>
      <c r="H38" s="7"/>
      <c r="I38" s="7"/>
      <c r="J38" s="7"/>
      <c r="K38" s="7"/>
      <c r="L38" s="7"/>
    </row>
    <row r="39" spans="1:12" x14ac:dyDescent="0.25">
      <c r="A39" s="7"/>
      <c r="B39" s="15"/>
      <c r="C39" s="7"/>
      <c r="D39" s="7"/>
      <c r="E39" s="7"/>
      <c r="F39" s="7"/>
      <c r="G39" s="7"/>
      <c r="H39" s="7"/>
      <c r="I39" s="7"/>
      <c r="J39" s="7"/>
      <c r="K39" s="7"/>
      <c r="L39" s="7"/>
    </row>
    <row r="40" spans="1:12" x14ac:dyDescent="0.25">
      <c r="A40" s="7"/>
      <c r="B40" s="15"/>
      <c r="C40" s="7"/>
      <c r="D40" s="7"/>
      <c r="E40" s="7"/>
      <c r="F40" s="7"/>
      <c r="G40" s="7"/>
      <c r="H40" s="7"/>
      <c r="I40" s="7"/>
      <c r="J40" s="7"/>
      <c r="K40" s="7"/>
      <c r="L40" s="7"/>
    </row>
    <row r="41" spans="1:12" x14ac:dyDescent="0.25">
      <c r="A41" s="7"/>
      <c r="B41" s="15"/>
      <c r="C41" s="7"/>
      <c r="D41" s="7"/>
      <c r="E41" s="7"/>
      <c r="F41" s="7"/>
      <c r="G41" s="7"/>
      <c r="H41" s="7"/>
      <c r="I41" s="7"/>
      <c r="J41" s="7"/>
      <c r="K41" s="7"/>
      <c r="L41" s="7"/>
    </row>
    <row r="42" spans="1:12" x14ac:dyDescent="0.25">
      <c r="B42" s="3"/>
    </row>
    <row r="44" spans="1:12" x14ac:dyDescent="0.25">
      <c r="B44" s="67" t="s">
        <v>938</v>
      </c>
    </row>
    <row r="45" spans="1:12" x14ac:dyDescent="0.25">
      <c r="B45" s="67" t="s">
        <v>939</v>
      </c>
    </row>
    <row r="46" spans="1:12" x14ac:dyDescent="0.25">
      <c r="B46" s="67" t="s">
        <v>940</v>
      </c>
    </row>
    <row r="47" spans="1:12" x14ac:dyDescent="0.25">
      <c r="B47" s="67" t="s">
        <v>941</v>
      </c>
    </row>
    <row r="48" spans="1:12" x14ac:dyDescent="0.25">
      <c r="B48" s="67" t="s">
        <v>942</v>
      </c>
    </row>
    <row r="49" spans="2:12" x14ac:dyDescent="0.25">
      <c r="B49" s="67" t="s">
        <v>943</v>
      </c>
    </row>
    <row r="50" spans="2:12" x14ac:dyDescent="0.25">
      <c r="B50" s="67" t="s">
        <v>944</v>
      </c>
    </row>
    <row r="51" spans="2:12" x14ac:dyDescent="0.25">
      <c r="B51" s="67" t="s">
        <v>945</v>
      </c>
    </row>
    <row r="52" spans="2:12" x14ac:dyDescent="0.25">
      <c r="B52" s="67" t="s">
        <v>946</v>
      </c>
    </row>
    <row r="53" spans="2:12" x14ac:dyDescent="0.25">
      <c r="B53" s="67" t="s">
        <v>947</v>
      </c>
    </row>
    <row r="54" spans="2:12" x14ac:dyDescent="0.25">
      <c r="B54" s="67" t="s">
        <v>948</v>
      </c>
    </row>
    <row r="56" spans="2:12" x14ac:dyDescent="0.25">
      <c r="B56" s="3" t="s">
        <v>949</v>
      </c>
    </row>
    <row r="58" spans="2:12" x14ac:dyDescent="0.25">
      <c r="B58" s="67" t="s">
        <v>950</v>
      </c>
    </row>
    <row r="59" spans="2:12" x14ac:dyDescent="0.25">
      <c r="B59" s="67" t="s">
        <v>951</v>
      </c>
    </row>
    <row r="61" spans="2:12" x14ac:dyDescent="0.25">
      <c r="B61" s="67" t="s">
        <v>952</v>
      </c>
    </row>
    <row r="63" spans="2:12" x14ac:dyDescent="0.25">
      <c r="B63" s="3" t="s">
        <v>953</v>
      </c>
    </row>
    <row r="64" spans="2:12" x14ac:dyDescent="0.25">
      <c r="B64" s="142" t="s">
        <v>954</v>
      </c>
      <c r="C64" s="142"/>
      <c r="D64" s="142"/>
      <c r="E64" s="142"/>
      <c r="F64" s="142"/>
      <c r="G64" s="142"/>
      <c r="H64" s="142"/>
      <c r="I64" s="142"/>
      <c r="J64" s="142"/>
      <c r="K64" s="142"/>
      <c r="L64" s="142"/>
    </row>
    <row r="65" spans="2:12" x14ac:dyDescent="0.25">
      <c r="B65" s="142" t="s">
        <v>955</v>
      </c>
      <c r="C65" s="142"/>
      <c r="D65" s="142"/>
      <c r="E65" s="142"/>
      <c r="F65" s="142"/>
      <c r="G65" s="142"/>
      <c r="H65" s="142"/>
      <c r="I65" s="142"/>
      <c r="J65" s="142"/>
      <c r="K65" s="142"/>
      <c r="L65" s="142"/>
    </row>
    <row r="66" spans="2:12" x14ac:dyDescent="0.25">
      <c r="B66" s="1766" t="s">
        <v>956</v>
      </c>
      <c r="C66" s="1766"/>
      <c r="D66" s="1766"/>
      <c r="E66" s="1766"/>
      <c r="F66" s="1766"/>
      <c r="G66" s="1766"/>
      <c r="H66" s="1766"/>
      <c r="I66" s="1766"/>
      <c r="J66" s="1766"/>
      <c r="K66" s="1766"/>
      <c r="L66" s="1766"/>
    </row>
    <row r="67" spans="2:12" x14ac:dyDescent="0.25">
      <c r="B67" s="142" t="s">
        <v>957</v>
      </c>
      <c r="C67" s="142"/>
      <c r="D67" s="142"/>
      <c r="E67" s="142"/>
      <c r="F67" s="142"/>
      <c r="G67" s="142"/>
      <c r="H67" s="142"/>
      <c r="I67" s="142"/>
      <c r="J67" s="142"/>
      <c r="K67" s="142"/>
      <c r="L67" s="142"/>
    </row>
    <row r="68" spans="2:12" x14ac:dyDescent="0.25">
      <c r="B68" s="142" t="s">
        <v>958</v>
      </c>
      <c r="C68" s="144"/>
      <c r="D68" s="144"/>
      <c r="E68" s="144"/>
      <c r="F68" s="144"/>
      <c r="G68" s="144"/>
      <c r="H68" s="144"/>
      <c r="I68" s="144"/>
      <c r="J68" s="144"/>
      <c r="K68" s="144"/>
      <c r="L68" s="144"/>
    </row>
    <row r="69" spans="2:12" x14ac:dyDescent="0.25">
      <c r="B69" s="142" t="s">
        <v>959</v>
      </c>
      <c r="C69" s="144"/>
      <c r="D69" s="144"/>
      <c r="E69" s="144"/>
      <c r="F69" s="144"/>
      <c r="G69" s="144"/>
      <c r="H69" s="144"/>
      <c r="I69" s="144"/>
      <c r="J69" s="144"/>
      <c r="K69" s="144"/>
      <c r="L69" s="144"/>
    </row>
    <row r="70" spans="2:12" x14ac:dyDescent="0.25">
      <c r="B70" s="142" t="s">
        <v>960</v>
      </c>
      <c r="C70" s="144"/>
      <c r="D70" s="144"/>
      <c r="E70" s="144"/>
      <c r="F70" s="144"/>
      <c r="G70" s="144"/>
      <c r="H70" s="144"/>
      <c r="I70" s="144"/>
      <c r="J70" s="144"/>
      <c r="K70" s="144"/>
      <c r="L70" s="144"/>
    </row>
    <row r="71" spans="2:12" x14ac:dyDescent="0.25">
      <c r="B71" s="142" t="s">
        <v>961</v>
      </c>
      <c r="C71" s="144"/>
      <c r="D71" s="144"/>
      <c r="E71" s="144"/>
      <c r="F71" s="144"/>
      <c r="G71" s="144"/>
      <c r="H71" s="144"/>
      <c r="I71" s="144"/>
      <c r="J71" s="144"/>
      <c r="K71" s="144"/>
      <c r="L71" s="144"/>
    </row>
    <row r="72" spans="2:12" x14ac:dyDescent="0.25">
      <c r="B72" s="142" t="s">
        <v>962</v>
      </c>
      <c r="C72" s="144"/>
      <c r="D72" s="144"/>
      <c r="E72" s="144"/>
      <c r="F72" s="144"/>
      <c r="G72" s="144"/>
      <c r="H72" s="144"/>
      <c r="I72" s="144"/>
      <c r="J72" s="144"/>
      <c r="K72" s="144"/>
      <c r="L72" s="144"/>
    </row>
    <row r="73" spans="2:12" x14ac:dyDescent="0.25">
      <c r="B73" s="142" t="s">
        <v>963</v>
      </c>
      <c r="C73" s="142"/>
      <c r="D73" s="142"/>
      <c r="E73" s="142"/>
      <c r="F73" s="142"/>
      <c r="G73" s="142"/>
      <c r="H73" s="142"/>
      <c r="I73" s="142"/>
      <c r="J73" s="142"/>
      <c r="K73" s="142"/>
      <c r="L73" s="142"/>
    </row>
    <row r="74" spans="2:12" x14ac:dyDescent="0.25">
      <c r="B74" s="318" t="s">
        <v>964</v>
      </c>
    </row>
    <row r="75" spans="2:12" x14ac:dyDescent="0.25">
      <c r="B75" s="142" t="s">
        <v>965</v>
      </c>
    </row>
    <row r="78" spans="2:12" x14ac:dyDescent="0.25">
      <c r="B78" s="1764" t="s">
        <v>966</v>
      </c>
      <c r="C78" s="1764"/>
    </row>
    <row r="80" spans="2:12" x14ac:dyDescent="0.25">
      <c r="B80" s="67" t="s">
        <v>967</v>
      </c>
    </row>
    <row r="81" spans="2:2" x14ac:dyDescent="0.25">
      <c r="B81" s="67" t="s">
        <v>968</v>
      </c>
    </row>
    <row r="82" spans="2:2" x14ac:dyDescent="0.25">
      <c r="B82" s="67" t="s">
        <v>969</v>
      </c>
    </row>
    <row r="83" spans="2:2" x14ac:dyDescent="0.25">
      <c r="B83" s="67" t="s">
        <v>970</v>
      </c>
    </row>
    <row r="84" spans="2:2" x14ac:dyDescent="0.25">
      <c r="B84" s="67" t="s">
        <v>971</v>
      </c>
    </row>
    <row r="85" spans="2:2" x14ac:dyDescent="0.25">
      <c r="B85" s="67" t="s">
        <v>972</v>
      </c>
    </row>
    <row r="86" spans="2:2" x14ac:dyDescent="0.25">
      <c r="B86" s="67" t="s">
        <v>973</v>
      </c>
    </row>
    <row r="87" spans="2:2" x14ac:dyDescent="0.25">
      <c r="B87" s="67" t="s">
        <v>974</v>
      </c>
    </row>
    <row r="89" spans="2:2" x14ac:dyDescent="0.25">
      <c r="B89" s="3" t="s">
        <v>975</v>
      </c>
    </row>
    <row r="91" spans="2:2" x14ac:dyDescent="0.25">
      <c r="B91" s="67" t="s">
        <v>976</v>
      </c>
    </row>
    <row r="92" spans="2:2" x14ac:dyDescent="0.25">
      <c r="B92" s="67" t="s">
        <v>977</v>
      </c>
    </row>
    <row r="93" spans="2:2" x14ac:dyDescent="0.25">
      <c r="B93" s="67" t="s">
        <v>978</v>
      </c>
    </row>
    <row r="94" spans="2:2" x14ac:dyDescent="0.25">
      <c r="B94" s="67" t="s">
        <v>979</v>
      </c>
    </row>
  </sheetData>
  <sheetProtection algorithmName="SHA-512" hashValue="IGraOs0UatS0+p57YeE6Egtm93UnJzQBiIO45rgHEGvpk1zqCQfGxab1Mm8Djjgpgrl7S0pAIr0WI7LfSqC1Nw==" saltValue="m1VhRQIw8fWu85Ls/BCPVw==" spinCount="100000" sheet="1" selectLockedCells="1"/>
  <mergeCells count="4">
    <mergeCell ref="B78:C78"/>
    <mergeCell ref="A1:K1"/>
    <mergeCell ref="B66:L66"/>
    <mergeCell ref="G22:I22"/>
  </mergeCells>
  <hyperlinks>
    <hyperlink ref="K5" location="'AYUDA DE DIETAS'!B74" display="CONSULTAR " xr:uid="{00000000-0004-0000-0A00-000000000000}"/>
    <hyperlink ref="G22:I22" location="'AYUDA DE DIETAS'!B74" display=" Ver días con derecho a dietas" xr:uid="{00000000-0004-0000-0A00-000001000000}"/>
  </hyperlinks>
  <printOptions horizontalCentered="1" verticalCentered="1"/>
  <pageMargins left="0" right="0" top="0" bottom="0" header="0" footer="0"/>
  <pageSetup paperSize="9" scale="98" orientation="landscape" r:id="rId1"/>
  <rowBreaks count="1" manualBreakCount="1">
    <brk id="3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B11:O40"/>
  <sheetViews>
    <sheetView showGridLines="0" topLeftCell="A6" zoomScale="80" zoomScaleNormal="80" workbookViewId="0">
      <selection activeCell="N14" sqref="N14"/>
    </sheetView>
  </sheetViews>
  <sheetFormatPr baseColWidth="10" defaultColWidth="11.44140625" defaultRowHeight="13.2" x14ac:dyDescent="0.25"/>
  <sheetData>
    <row r="11" spans="13:15" x14ac:dyDescent="0.25">
      <c r="M11" s="138" t="s">
        <v>980</v>
      </c>
    </row>
    <row r="12" spans="13:15" x14ac:dyDescent="0.25">
      <c r="M12" s="1281" t="s">
        <v>981</v>
      </c>
      <c r="N12" s="1281"/>
      <c r="O12" s="1281"/>
    </row>
    <row r="35" spans="2:2" x14ac:dyDescent="0.25">
      <c r="B35" s="545" t="s">
        <v>982</v>
      </c>
    </row>
    <row r="36" spans="2:2" x14ac:dyDescent="0.25">
      <c r="B36" s="3" t="s">
        <v>983</v>
      </c>
    </row>
    <row r="38" spans="2:2" x14ac:dyDescent="0.25">
      <c r="B38" s="67" t="s">
        <v>984</v>
      </c>
    </row>
    <row r="39" spans="2:2" x14ac:dyDescent="0.25">
      <c r="B39" s="67" t="s">
        <v>985</v>
      </c>
    </row>
    <row r="40" spans="2:2" x14ac:dyDescent="0.25">
      <c r="B40" s="67" t="s">
        <v>986</v>
      </c>
    </row>
  </sheetData>
  <sheetProtection algorithmName="SHA-512" hashValue="WXXerCS9NzUFBxJvCsNHoeyQLKcubnyP9BwTRZJqB/glPTFgNCNqdbHrwp6uskCUkgbuOVX6fCZ0fBJmV5M9AA==" saltValue="f3tQqebboAPYEQAYXBuleQ==" spinCount="100000" sheet="1" objects="1" scenarios="1" selectLockedCells="1" selectUnlockedCells="1"/>
  <mergeCells count="1">
    <mergeCell ref="M12:O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0"/>
  <dimension ref="A3:H40"/>
  <sheetViews>
    <sheetView showGridLines="0" zoomScaleNormal="100" workbookViewId="0">
      <selection activeCell="G19" sqref="G19"/>
    </sheetView>
  </sheetViews>
  <sheetFormatPr baseColWidth="10" defaultColWidth="11.44140625" defaultRowHeight="13.2" x14ac:dyDescent="0.25"/>
  <sheetData>
    <row r="3" spans="1:8" ht="17.399999999999999" x14ac:dyDescent="0.3">
      <c r="A3" s="1770" t="s">
        <v>987</v>
      </c>
      <c r="B3" s="1770"/>
      <c r="C3" s="1770"/>
      <c r="D3" s="1770"/>
      <c r="E3" s="1770"/>
      <c r="F3" s="1770"/>
      <c r="G3" s="1770"/>
      <c r="H3" s="1770"/>
    </row>
    <row r="6" spans="1:8" x14ac:dyDescent="0.25">
      <c r="A6" s="138" t="s">
        <v>988</v>
      </c>
      <c r="B6" s="1771"/>
      <c r="C6" s="1772"/>
      <c r="D6" s="1772"/>
      <c r="E6" s="1772"/>
      <c r="F6" s="1772"/>
      <c r="G6" s="1772"/>
      <c r="H6" s="1772"/>
    </row>
    <row r="8" spans="1:8" x14ac:dyDescent="0.25">
      <c r="A8" s="138" t="s">
        <v>989</v>
      </c>
      <c r="B8" s="1771"/>
      <c r="C8" s="1772"/>
      <c r="D8" s="1772"/>
      <c r="E8" s="1772"/>
      <c r="F8" s="1772"/>
      <c r="G8" s="1772"/>
      <c r="H8" s="1772"/>
    </row>
    <row r="10" spans="1:8" ht="15.6" x14ac:dyDescent="0.3">
      <c r="A10" s="138" t="s">
        <v>990</v>
      </c>
      <c r="B10" s="1433"/>
      <c r="C10" s="1433"/>
      <c r="D10" s="1433"/>
      <c r="E10" s="1433"/>
      <c r="F10" s="1433"/>
      <c r="G10" s="1433"/>
      <c r="H10" s="1433"/>
    </row>
    <row r="12" spans="1:8" x14ac:dyDescent="0.25">
      <c r="A12" s="1771"/>
      <c r="B12" s="1772"/>
      <c r="C12" s="1772"/>
      <c r="D12" s="1772"/>
      <c r="E12" s="1772"/>
      <c r="F12" s="1772"/>
      <c r="G12" s="1772"/>
      <c r="H12" s="1772"/>
    </row>
    <row r="13" spans="1:8" x14ac:dyDescent="0.25">
      <c r="A13" s="1768"/>
      <c r="B13" s="1769"/>
      <c r="C13" s="1769"/>
      <c r="D13" s="1769"/>
      <c r="E13" s="1769"/>
      <c r="F13" s="1769"/>
      <c r="G13" s="1769"/>
      <c r="H13" s="1769"/>
    </row>
    <row r="14" spans="1:8" x14ac:dyDescent="0.25">
      <c r="A14" s="1769"/>
      <c r="B14" s="1769"/>
      <c r="C14" s="1769"/>
      <c r="D14" s="1769"/>
      <c r="E14" s="1769"/>
      <c r="F14" s="1769"/>
      <c r="G14" s="1769"/>
      <c r="H14" s="1769"/>
    </row>
    <row r="15" spans="1:8" x14ac:dyDescent="0.25">
      <c r="A15" s="1772"/>
      <c r="B15" s="1772"/>
      <c r="C15" s="1772"/>
      <c r="D15" s="1772"/>
      <c r="E15" s="1772"/>
      <c r="F15" s="1772"/>
      <c r="G15" s="1772"/>
      <c r="H15" s="1772"/>
    </row>
    <row r="16" spans="1:8" x14ac:dyDescent="0.25">
      <c r="A16" s="1772"/>
      <c r="B16" s="1772"/>
      <c r="C16" s="1772"/>
      <c r="D16" s="1772"/>
      <c r="E16" s="1772"/>
      <c r="F16" s="1772"/>
      <c r="G16" s="1772"/>
      <c r="H16" s="1772"/>
    </row>
    <row r="17" spans="1:8" x14ac:dyDescent="0.25">
      <c r="A17" s="141"/>
      <c r="B17" s="141"/>
      <c r="C17" s="141"/>
      <c r="D17" s="141"/>
      <c r="E17" s="141"/>
      <c r="F17" s="141"/>
      <c r="G17" s="141"/>
      <c r="H17" s="141"/>
    </row>
    <row r="18" spans="1:8" x14ac:dyDescent="0.25">
      <c r="A18" s="141"/>
      <c r="B18" s="141"/>
      <c r="C18" s="141"/>
      <c r="D18" s="141"/>
      <c r="E18" s="141"/>
      <c r="F18" s="141"/>
      <c r="G18" s="141"/>
      <c r="H18" s="141"/>
    </row>
    <row r="19" spans="1:8" x14ac:dyDescent="0.25">
      <c r="A19" s="141"/>
      <c r="B19" s="141"/>
      <c r="C19" s="141"/>
      <c r="D19" s="141"/>
      <c r="E19" s="141"/>
      <c r="F19" s="141"/>
      <c r="G19" s="141"/>
      <c r="H19" s="141"/>
    </row>
    <row r="20" spans="1:8" x14ac:dyDescent="0.25">
      <c r="A20" s="141"/>
      <c r="B20" s="141"/>
      <c r="C20" s="141"/>
      <c r="D20" s="141"/>
      <c r="E20" s="141"/>
      <c r="F20" s="141"/>
      <c r="G20" s="141"/>
      <c r="H20" s="141"/>
    </row>
    <row r="21" spans="1:8" x14ac:dyDescent="0.25">
      <c r="A21" s="141"/>
      <c r="B21" s="141"/>
      <c r="C21" s="141"/>
      <c r="D21" s="141"/>
      <c r="E21" s="141"/>
      <c r="F21" s="141"/>
      <c r="G21" s="141"/>
      <c r="H21" s="141"/>
    </row>
    <row r="22" spans="1:8" x14ac:dyDescent="0.25">
      <c r="A22" s="1769"/>
      <c r="B22" s="1769"/>
      <c r="C22" s="1769"/>
      <c r="D22" s="1769"/>
      <c r="E22" s="1769"/>
      <c r="F22" s="1769"/>
      <c r="G22" s="1769"/>
      <c r="H22" s="1769"/>
    </row>
    <row r="23" spans="1:8" x14ac:dyDescent="0.25">
      <c r="A23" s="1769"/>
      <c r="B23" s="1769"/>
      <c r="C23" s="1769"/>
      <c r="D23" s="1769"/>
      <c r="E23" s="1769"/>
      <c r="F23" s="1769"/>
      <c r="G23" s="1769"/>
      <c r="H23" s="1769"/>
    </row>
    <row r="24" spans="1:8" x14ac:dyDescent="0.25">
      <c r="A24" s="141"/>
      <c r="B24" s="141"/>
      <c r="C24" s="141"/>
      <c r="D24" s="141"/>
      <c r="E24" s="141"/>
      <c r="F24" s="141"/>
      <c r="G24" s="141"/>
      <c r="H24" s="141"/>
    </row>
    <row r="25" spans="1:8" x14ac:dyDescent="0.25">
      <c r="A25" s="141"/>
      <c r="B25" s="141"/>
      <c r="C25" s="141"/>
      <c r="D25" s="141"/>
      <c r="E25" s="141"/>
      <c r="F25" s="141"/>
      <c r="G25" s="141"/>
      <c r="H25" s="141"/>
    </row>
    <row r="26" spans="1:8" x14ac:dyDescent="0.25">
      <c r="A26" s="1769"/>
      <c r="B26" s="1769"/>
      <c r="C26" s="1769"/>
      <c r="D26" s="1769"/>
      <c r="E26" s="1769"/>
      <c r="F26" s="1769"/>
      <c r="G26" s="1769"/>
      <c r="H26" s="1769"/>
    </row>
    <row r="27" spans="1:8" x14ac:dyDescent="0.25">
      <c r="A27" s="1769"/>
      <c r="B27" s="1769"/>
      <c r="C27" s="1769"/>
      <c r="D27" s="1769"/>
      <c r="E27" s="1769"/>
      <c r="F27" s="1769"/>
      <c r="G27" s="1769"/>
      <c r="H27" s="1769"/>
    </row>
    <row r="28" spans="1:8" x14ac:dyDescent="0.25">
      <c r="A28" s="140"/>
      <c r="B28" s="140"/>
      <c r="C28" s="140"/>
      <c r="D28" s="140"/>
      <c r="E28" s="140"/>
      <c r="F28" s="140"/>
      <c r="G28" s="140"/>
      <c r="H28" s="140"/>
    </row>
    <row r="29" spans="1:8" x14ac:dyDescent="0.25">
      <c r="A29" s="140"/>
      <c r="B29" s="140"/>
      <c r="C29" s="140"/>
      <c r="D29" s="140"/>
      <c r="E29" s="140"/>
      <c r="F29" s="140"/>
      <c r="G29" s="140"/>
      <c r="H29" s="140"/>
    </row>
    <row r="31" spans="1:8" x14ac:dyDescent="0.25">
      <c r="A31" s="67" t="s">
        <v>991</v>
      </c>
    </row>
    <row r="33" spans="1:8" x14ac:dyDescent="0.25">
      <c r="C33" s="139" t="s">
        <v>992</v>
      </c>
      <c r="D33" s="1774"/>
      <c r="E33" s="1774"/>
      <c r="F33" s="1774"/>
      <c r="G33" s="1774"/>
      <c r="H33" s="1774"/>
    </row>
    <row r="35" spans="1:8" x14ac:dyDescent="0.25">
      <c r="A35" s="138" t="s">
        <v>876</v>
      </c>
      <c r="B35" s="1773" t="str">
        <f>IF(B6="","",B6)</f>
        <v/>
      </c>
      <c r="C35" s="1773"/>
      <c r="D35" s="1773"/>
      <c r="E35" s="1773"/>
      <c r="F35" s="1773"/>
      <c r="G35" s="1773"/>
      <c r="H35" s="1773"/>
    </row>
    <row r="39" spans="1:8" ht="17.399999999999999" x14ac:dyDescent="0.3">
      <c r="A39" s="67" t="s">
        <v>993</v>
      </c>
    </row>
    <row r="40" spans="1:8" x14ac:dyDescent="0.25">
      <c r="A40" s="67" t="s">
        <v>994</v>
      </c>
    </row>
  </sheetData>
  <sheetProtection algorithmName="SHA-512" hashValue="QJM2VtLk1L3mope8STL2pTASaBqsWjZIOQeHXvIK5QxH0JqL3PZGGF4DCAJ0JhdbT9PUx9iLOVaSg7rIrXy0QQ==" saltValue="GdmjGqXJP9nZbNTnWMQcJg==" spinCount="100000" sheet="1" selectLockedCells="1"/>
  <mergeCells count="15">
    <mergeCell ref="A14:H14"/>
    <mergeCell ref="B35:H35"/>
    <mergeCell ref="D33:H33"/>
    <mergeCell ref="A15:H15"/>
    <mergeCell ref="A16:H16"/>
    <mergeCell ref="A22:H22"/>
    <mergeCell ref="A23:H23"/>
    <mergeCell ref="A26:H26"/>
    <mergeCell ref="A27:H27"/>
    <mergeCell ref="A13:H13"/>
    <mergeCell ref="A3:H3"/>
    <mergeCell ref="B6:H6"/>
    <mergeCell ref="B8:H8"/>
    <mergeCell ref="B10:H10"/>
    <mergeCell ref="A12:H12"/>
  </mergeCells>
  <printOptions horizontalCentered="1"/>
  <pageMargins left="0" right="0" top="0" bottom="0" header="0"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6"/>
  <dimension ref="A1:B50"/>
  <sheetViews>
    <sheetView showGridLines="0" topLeftCell="A5" workbookViewId="0"/>
  </sheetViews>
  <sheetFormatPr baseColWidth="10" defaultColWidth="11.44140625" defaultRowHeight="13.8" x14ac:dyDescent="0.3"/>
  <cols>
    <col min="1" max="1" width="67" style="332" customWidth="1"/>
    <col min="2" max="2" width="11.44140625" style="332"/>
  </cols>
  <sheetData>
    <row r="1" spans="1:1" ht="33.6" x14ac:dyDescent="0.3">
      <c r="A1" s="69" t="s">
        <v>995</v>
      </c>
    </row>
    <row r="2" spans="1:1" ht="14.4" x14ac:dyDescent="0.3">
      <c r="A2" s="331" t="s">
        <v>996</v>
      </c>
    </row>
    <row r="3" spans="1:1" ht="14.4" x14ac:dyDescent="0.3">
      <c r="A3" s="331" t="s">
        <v>997</v>
      </c>
    </row>
    <row r="4" spans="1:1" ht="14.4" x14ac:dyDescent="0.3">
      <c r="A4" s="331" t="s">
        <v>998</v>
      </c>
    </row>
    <row r="5" spans="1:1" ht="14.4" x14ac:dyDescent="0.3">
      <c r="A5" s="331" t="s">
        <v>999</v>
      </c>
    </row>
    <row r="6" spans="1:1" ht="14.4" x14ac:dyDescent="0.3">
      <c r="A6" s="331" t="s">
        <v>1000</v>
      </c>
    </row>
    <row r="7" spans="1:1" ht="14.4" x14ac:dyDescent="0.3">
      <c r="A7" s="331" t="s">
        <v>1001</v>
      </c>
    </row>
    <row r="8" spans="1:1" ht="14.4" x14ac:dyDescent="0.3">
      <c r="A8" s="331" t="s">
        <v>1002</v>
      </c>
    </row>
    <row r="9" spans="1:1" ht="14.4" x14ac:dyDescent="0.3">
      <c r="A9" s="331" t="s">
        <v>1003</v>
      </c>
    </row>
    <row r="10" spans="1:1" ht="14.4" x14ac:dyDescent="0.3">
      <c r="A10" s="331" t="s">
        <v>1004</v>
      </c>
    </row>
    <row r="11" spans="1:1" ht="14.4" x14ac:dyDescent="0.3">
      <c r="A11" s="331" t="s">
        <v>1005</v>
      </c>
    </row>
    <row r="12" spans="1:1" ht="14.4" x14ac:dyDescent="0.3">
      <c r="A12" s="331" t="s">
        <v>1006</v>
      </c>
    </row>
    <row r="13" spans="1:1" ht="14.4" x14ac:dyDescent="0.3">
      <c r="A13" s="331" t="s">
        <v>1007</v>
      </c>
    </row>
    <row r="14" spans="1:1" ht="14.4" x14ac:dyDescent="0.3">
      <c r="A14" s="331" t="s">
        <v>1008</v>
      </c>
    </row>
    <row r="15" spans="1:1" ht="14.4" x14ac:dyDescent="0.3">
      <c r="A15" s="331" t="s">
        <v>1009</v>
      </c>
    </row>
    <row r="16" spans="1:1" ht="14.4" x14ac:dyDescent="0.3">
      <c r="A16" s="331" t="s">
        <v>1010</v>
      </c>
    </row>
    <row r="17" spans="1:1" ht="14.4" x14ac:dyDescent="0.3">
      <c r="A17" s="331" t="s">
        <v>1011</v>
      </c>
    </row>
    <row r="18" spans="1:1" ht="14.4" x14ac:dyDescent="0.3">
      <c r="A18" s="331" t="s">
        <v>1012</v>
      </c>
    </row>
    <row r="19" spans="1:1" ht="14.4" x14ac:dyDescent="0.3">
      <c r="A19" s="331" t="s">
        <v>1013</v>
      </c>
    </row>
    <row r="20" spans="1:1" ht="14.4" x14ac:dyDescent="0.3">
      <c r="A20" s="331" t="s">
        <v>1014</v>
      </c>
    </row>
    <row r="21" spans="1:1" ht="14.4" x14ac:dyDescent="0.3">
      <c r="A21" s="331" t="s">
        <v>1015</v>
      </c>
    </row>
    <row r="22" spans="1:1" ht="14.4" x14ac:dyDescent="0.3">
      <c r="A22" s="331" t="s">
        <v>1016</v>
      </c>
    </row>
    <row r="23" spans="1:1" ht="14.4" x14ac:dyDescent="0.3">
      <c r="A23" s="331" t="s">
        <v>1017</v>
      </c>
    </row>
    <row r="24" spans="1:1" ht="14.4" x14ac:dyDescent="0.3">
      <c r="A24" s="331" t="s">
        <v>1018</v>
      </c>
    </row>
    <row r="25" spans="1:1" ht="14.4" x14ac:dyDescent="0.3">
      <c r="A25" s="331" t="s">
        <v>1019</v>
      </c>
    </row>
    <row r="26" spans="1:1" ht="14.4" x14ac:dyDescent="0.3">
      <c r="A26" s="331" t="s">
        <v>1020</v>
      </c>
    </row>
    <row r="27" spans="1:1" ht="14.4" x14ac:dyDescent="0.3">
      <c r="A27" s="331" t="s">
        <v>1021</v>
      </c>
    </row>
    <row r="28" spans="1:1" ht="14.4" x14ac:dyDescent="0.3">
      <c r="A28" s="331" t="s">
        <v>1022</v>
      </c>
    </row>
    <row r="29" spans="1:1" ht="14.4" x14ac:dyDescent="0.3">
      <c r="A29" s="331" t="s">
        <v>1023</v>
      </c>
    </row>
    <row r="30" spans="1:1" ht="14.4" x14ac:dyDescent="0.3">
      <c r="A30" s="331" t="s">
        <v>1024</v>
      </c>
    </row>
    <row r="31" spans="1:1" ht="14.4" x14ac:dyDescent="0.3">
      <c r="A31" s="331" t="s">
        <v>1025</v>
      </c>
    </row>
    <row r="32" spans="1:1" ht="14.4" x14ac:dyDescent="0.3">
      <c r="A32" s="331" t="s">
        <v>1026</v>
      </c>
    </row>
    <row r="33" spans="1:1" ht="14.4" x14ac:dyDescent="0.3">
      <c r="A33" s="331" t="s">
        <v>1027</v>
      </c>
    </row>
    <row r="34" spans="1:1" ht="14.4" x14ac:dyDescent="0.3">
      <c r="A34" s="331" t="s">
        <v>1028</v>
      </c>
    </row>
    <row r="35" spans="1:1" ht="14.4" x14ac:dyDescent="0.3">
      <c r="A35" s="331" t="s">
        <v>1029</v>
      </c>
    </row>
    <row r="36" spans="1:1" ht="14.4" x14ac:dyDescent="0.3">
      <c r="A36" s="331" t="s">
        <v>1030</v>
      </c>
    </row>
    <row r="37" spans="1:1" ht="14.4" x14ac:dyDescent="0.3">
      <c r="A37" s="331" t="s">
        <v>1031</v>
      </c>
    </row>
    <row r="38" spans="1:1" ht="14.4" x14ac:dyDescent="0.3">
      <c r="A38" s="331" t="s">
        <v>1032</v>
      </c>
    </row>
    <row r="39" spans="1:1" ht="14.4" x14ac:dyDescent="0.3">
      <c r="A39" s="331" t="s">
        <v>1033</v>
      </c>
    </row>
    <row r="40" spans="1:1" ht="14.4" x14ac:dyDescent="0.3">
      <c r="A40" s="331" t="s">
        <v>1034</v>
      </c>
    </row>
    <row r="41" spans="1:1" ht="14.4" x14ac:dyDescent="0.3">
      <c r="A41" s="331" t="s">
        <v>1035</v>
      </c>
    </row>
    <row r="42" spans="1:1" ht="14.4" x14ac:dyDescent="0.3">
      <c r="A42" s="331" t="s">
        <v>1036</v>
      </c>
    </row>
    <row r="43" spans="1:1" ht="14.4" x14ac:dyDescent="0.3">
      <c r="A43" s="331" t="s">
        <v>1037</v>
      </c>
    </row>
    <row r="44" spans="1:1" ht="14.4" x14ac:dyDescent="0.3">
      <c r="A44" s="331" t="s">
        <v>1038</v>
      </c>
    </row>
    <row r="45" spans="1:1" ht="14.4" x14ac:dyDescent="0.3">
      <c r="A45" s="331" t="s">
        <v>1039</v>
      </c>
    </row>
    <row r="46" spans="1:1" ht="14.4" x14ac:dyDescent="0.3">
      <c r="A46" s="331" t="s">
        <v>1040</v>
      </c>
    </row>
    <row r="47" spans="1:1" ht="14.4" x14ac:dyDescent="0.3">
      <c r="A47" s="331" t="s">
        <v>1041</v>
      </c>
    </row>
    <row r="48" spans="1:1" ht="14.4" x14ac:dyDescent="0.3">
      <c r="A48" s="331" t="s">
        <v>1042</v>
      </c>
    </row>
    <row r="49" spans="1:1" ht="14.4" x14ac:dyDescent="0.3">
      <c r="A49" s="331" t="s">
        <v>1043</v>
      </c>
    </row>
    <row r="50" spans="1:1" ht="14.4" x14ac:dyDescent="0.3">
      <c r="A50" s="333"/>
    </row>
  </sheetData>
  <sheetProtection algorithmName="SHA-512" hashValue="wnqFGpITows/zAIAwT3vpFk8H7qkFcsEkUWgDzUKmv4lnjfy/tPxDv5yO8Vswx/HHpgmVIzOSBB5laIRJ+++eg==" saltValue="tpVgAolACkzCOSFg9LfHmQ==" spinCount="100000" sheet="1" selectLockedCells="1"/>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tabColor theme="6" tint="0.59999389629810485"/>
  </sheetPr>
  <dimension ref="A1:AV125"/>
  <sheetViews>
    <sheetView showGridLines="0" topLeftCell="A18" zoomScale="90" zoomScaleNormal="90" zoomScaleSheetLayoutView="100" workbookViewId="0">
      <selection activeCell="C49" sqref="C49"/>
    </sheetView>
  </sheetViews>
  <sheetFormatPr baseColWidth="10" defaultColWidth="11.44140625" defaultRowHeight="13.2" x14ac:dyDescent="0.25"/>
  <cols>
    <col min="1" max="1" width="0.6640625" style="7" customWidth="1"/>
    <col min="2" max="2" width="38.6640625" style="7" customWidth="1"/>
    <col min="3" max="3" width="13.33203125" style="7" customWidth="1"/>
    <col min="4" max="4" width="12.44140625" style="7" customWidth="1"/>
    <col min="5" max="5" width="13.109375" style="7" customWidth="1"/>
    <col min="6" max="6" width="16.44140625" style="7" customWidth="1"/>
    <col min="7" max="7" width="17.109375" style="7" customWidth="1"/>
    <col min="8" max="8" width="23.33203125" style="7" customWidth="1"/>
    <col min="9" max="9" width="15.44140625" style="7" customWidth="1"/>
    <col min="10" max="10" width="10.6640625" style="7" customWidth="1"/>
    <col min="11" max="11" width="9.109375" style="7" hidden="1" customWidth="1"/>
    <col min="12" max="12" width="10.33203125" style="7" hidden="1" customWidth="1"/>
    <col min="13" max="13" width="11.33203125" style="7" hidden="1" customWidth="1"/>
    <col min="14" max="14" width="21" style="7" hidden="1" customWidth="1"/>
    <col min="15" max="15" width="10.44140625" style="7" hidden="1" customWidth="1"/>
    <col min="16" max="16" width="13" style="7" hidden="1" customWidth="1"/>
    <col min="17" max="17" width="19.33203125" style="7" hidden="1" customWidth="1"/>
    <col min="18" max="18" width="14.6640625" style="7" hidden="1" customWidth="1"/>
    <col min="19" max="19" width="13.109375" style="7" hidden="1" customWidth="1"/>
    <col min="20" max="20" width="14.6640625" style="7" hidden="1" customWidth="1"/>
    <col min="21" max="21" width="15.6640625" style="7" hidden="1" customWidth="1"/>
    <col min="22" max="26" width="11.44140625" style="7" hidden="1" customWidth="1"/>
    <col min="27" max="48" width="11.44140625" style="7"/>
  </cols>
  <sheetData>
    <row r="1" spans="1:43" x14ac:dyDescent="0.25">
      <c r="C1" s="14"/>
      <c r="D1" s="14"/>
      <c r="E1" s="14"/>
      <c r="F1" s="14"/>
      <c r="G1" s="14"/>
      <c r="H1" s="14"/>
    </row>
    <row r="2" spans="1:43" ht="17.399999999999999" x14ac:dyDescent="0.3">
      <c r="C2" s="14"/>
      <c r="D2" s="14"/>
      <c r="E2" s="349" t="str">
        <f>IF(F2="","","Decreto")</f>
        <v/>
      </c>
      <c r="F2" s="1800" t="str">
        <f>IF(C29=R3,R3,IF(C29=R4,R4,""))</f>
        <v/>
      </c>
      <c r="G2" s="1800"/>
      <c r="H2" s="14"/>
      <c r="R2" s="15" t="s">
        <v>1044</v>
      </c>
      <c r="T2" s="15" t="s">
        <v>453</v>
      </c>
      <c r="U2" s="15" t="s">
        <v>634</v>
      </c>
      <c r="V2" s="15" t="s">
        <v>1045</v>
      </c>
      <c r="W2" s="15" t="s">
        <v>1046</v>
      </c>
      <c r="AB2" s="447" t="s">
        <v>1047</v>
      </c>
      <c r="AE2" s="447"/>
    </row>
    <row r="3" spans="1:43" x14ac:dyDescent="0.25">
      <c r="C3" s="1801"/>
      <c r="D3" s="1801"/>
      <c r="E3" s="1801"/>
      <c r="F3" s="1801"/>
      <c r="G3" s="1801"/>
      <c r="H3" s="1801"/>
      <c r="R3" s="174" t="s">
        <v>1048</v>
      </c>
      <c r="S3" s="350"/>
      <c r="T3" s="351">
        <v>65.97</v>
      </c>
      <c r="U3" s="352">
        <v>18.7</v>
      </c>
      <c r="V3" s="19">
        <v>37.4</v>
      </c>
    </row>
    <row r="4" spans="1:43" ht="21" x14ac:dyDescent="0.4">
      <c r="C4" s="1802" t="s">
        <v>1049</v>
      </c>
      <c r="D4" s="1802"/>
      <c r="E4" s="1802"/>
      <c r="F4" s="1802"/>
      <c r="G4" s="1802"/>
      <c r="H4" s="1802"/>
      <c r="I4" s="1802"/>
      <c r="R4" s="174" t="s">
        <v>1050</v>
      </c>
      <c r="S4" s="350"/>
      <c r="T4" s="351">
        <v>64.27</v>
      </c>
      <c r="U4" s="352">
        <v>20.41</v>
      </c>
      <c r="V4" s="19">
        <v>40.82</v>
      </c>
    </row>
    <row r="5" spans="1:43" x14ac:dyDescent="0.25">
      <c r="R5" s="1855" t="s">
        <v>1051</v>
      </c>
      <c r="S5" s="1856"/>
      <c r="T5" s="370">
        <v>130</v>
      </c>
      <c r="U5" s="370">
        <v>23.67</v>
      </c>
      <c r="V5" s="7">
        <v>26.67</v>
      </c>
    </row>
    <row r="6" spans="1:43" x14ac:dyDescent="0.25">
      <c r="R6" s="15" t="s">
        <v>1052</v>
      </c>
      <c r="T6" s="353">
        <v>0</v>
      </c>
      <c r="U6" s="476" t="s">
        <v>1044</v>
      </c>
    </row>
    <row r="7" spans="1:43" x14ac:dyDescent="0.25">
      <c r="B7" s="432" t="s">
        <v>777</v>
      </c>
      <c r="C7" s="1549" t="str">
        <f>IF(D67&lt;&gt;"","Para cumplimentar correctamente la liquidación, antes de imprimir atienda a los mensajes","")</f>
        <v>Para cumplimentar correctamente la liquidación, antes de imprimir atienda a los mensajes</v>
      </c>
      <c r="D7" s="1549"/>
      <c r="E7" s="1549"/>
      <c r="F7" s="1549"/>
      <c r="G7" s="1549"/>
      <c r="H7" s="1549"/>
      <c r="I7" s="1549"/>
      <c r="R7" s="15" t="str">
        <f>IF(C15="","",C15)</f>
        <v/>
      </c>
      <c r="T7" s="353">
        <v>0.15</v>
      </c>
      <c r="U7" s="477" t="s">
        <v>1048</v>
      </c>
      <c r="V7" s="351">
        <v>65.97</v>
      </c>
    </row>
    <row r="8" spans="1:43" ht="13.8" x14ac:dyDescent="0.25">
      <c r="C8" s="6" t="str">
        <f>IF(D67&lt;&gt;"","que van apareciendo y siga sus instrucciones.Guarde esta liquidación para justificar el viaje o posibles incidencias.","")</f>
        <v>que van apareciendo y siga sus instrucciones.Guarde esta liquidación para justificar el viaje o posibles incidencias.</v>
      </c>
      <c r="D8" s="23"/>
      <c r="E8" s="23"/>
      <c r="F8" s="23"/>
      <c r="G8" s="23"/>
      <c r="H8" s="23"/>
      <c r="I8" s="23"/>
      <c r="R8" s="15" t="s">
        <v>1053</v>
      </c>
      <c r="T8" s="353">
        <v>0.19</v>
      </c>
      <c r="U8" s="477" t="s">
        <v>1050</v>
      </c>
      <c r="V8" s="351">
        <v>64.27</v>
      </c>
    </row>
    <row r="9" spans="1:43" x14ac:dyDescent="0.25">
      <c r="B9" s="6"/>
      <c r="C9" s="6"/>
      <c r="D9" s="6"/>
      <c r="E9" s="6"/>
      <c r="F9" s="6"/>
      <c r="G9" s="6"/>
      <c r="H9" s="6"/>
      <c r="I9" s="6"/>
      <c r="R9" s="15" t="s">
        <v>1054</v>
      </c>
      <c r="T9" s="353">
        <v>0.19500000000000001</v>
      </c>
      <c r="U9" s="478" t="s">
        <v>1055</v>
      </c>
      <c r="V9" s="19">
        <v>90</v>
      </c>
    </row>
    <row r="10" spans="1:43" x14ac:dyDescent="0.25">
      <c r="C10" s="1538"/>
      <c r="D10" s="1538"/>
      <c r="E10" s="1538"/>
      <c r="F10" s="1538"/>
      <c r="G10" s="1538"/>
      <c r="H10" s="1538"/>
      <c r="I10" s="1538"/>
      <c r="R10" s="15"/>
      <c r="S10" s="19"/>
      <c r="T10" s="353">
        <v>0.2</v>
      </c>
      <c r="U10" s="478" t="s">
        <v>1056</v>
      </c>
      <c r="V10" s="19">
        <v>120</v>
      </c>
    </row>
    <row r="11" spans="1:43" ht="15" x14ac:dyDescent="0.25">
      <c r="B11" s="17"/>
      <c r="C11" s="1787" t="str">
        <f>IF(C12="","ESCRIBA SU NOMBRE",IF(C13="","FALTA INDICAR EL PROYECTO",IF(C14="","INDIQUE LA ORGÁNICA Y PROYECTO",IF(C16="","INDIQUE LA NACIONALIDAD",IF(H16="","INDIQUE EL DNI/ Pasaporte",IF(C17="","INDIQUE EL DOMICILIO",IF(C18="","INDIQUE LA FECHA DE LA ACTIVIDAD",IF(C19="","ESCRIBA EL MOTIVO DE LA CELEBRACIÓN",IF(AND(C31=R6,I31&gt;0),"ELIJA A QUIÉN SE LE ABONA",IF(AND(I31&lt;&gt;0,E31=""),"INDIQUE EL Nº DE NOCHES",IF(AND(C31&lt;&gt;C15,G31="",I31&gt;0),"INDIQUE EL NOMBRE DEL PERCEPTOR",IF(AND(M35&gt;0,C34=R6),"ELIJA A QUIÉN SE LE ABONA",IF(AND(I35&lt;&gt;0,E35=""),"INDIQUE EL Nº DE DÍAS",IF(AND(I35&lt;&gt;0,C36=""),"INDIQUE EL Nº DE COMENSALES",IF(AND(C34&lt;&gt;C15,G36="",I35&gt;0),"INDIQUE EL NOMBRE DEL PERCEPTOR",IF(AND(C34&lt;&gt;C15,G36="",I36&gt;0),"INDIQUE EL NOMBRE DEL PERCEPTOR",""))))))))))))))))</f>
        <v>ESCRIBA SU NOMBRE</v>
      </c>
      <c r="D11" s="1787"/>
      <c r="E11" s="1787"/>
      <c r="F11" s="1787"/>
      <c r="G11" s="1787"/>
      <c r="H11" s="1787"/>
      <c r="R11" s="15" t="s">
        <v>1057</v>
      </c>
      <c r="T11" s="353">
        <v>0.24</v>
      </c>
    </row>
    <row r="12" spans="1:43" ht="19.95" customHeight="1" x14ac:dyDescent="0.3">
      <c r="B12" s="222" t="s">
        <v>1058</v>
      </c>
      <c r="C12" s="1790"/>
      <c r="D12" s="1790"/>
      <c r="E12" s="1790"/>
      <c r="F12" s="1790"/>
      <c r="G12" s="1790"/>
      <c r="H12" s="1790"/>
      <c r="I12" s="1790"/>
    </row>
    <row r="13" spans="1:43" ht="19.95" customHeight="1" x14ac:dyDescent="0.3">
      <c r="B13" s="222" t="s">
        <v>1059</v>
      </c>
      <c r="C13" s="1791"/>
      <c r="D13" s="1791"/>
      <c r="E13" s="1791"/>
      <c r="F13" s="1791"/>
      <c r="G13" s="1791"/>
      <c r="H13" s="1791"/>
      <c r="I13" s="1791"/>
      <c r="R13" s="172" t="s">
        <v>286</v>
      </c>
    </row>
    <row r="14" spans="1:43" ht="19.95" customHeight="1" x14ac:dyDescent="0.3">
      <c r="B14" s="222" t="s">
        <v>1060</v>
      </c>
      <c r="C14" s="1792"/>
      <c r="D14" s="1792"/>
      <c r="E14" s="1792"/>
      <c r="F14" s="1792"/>
      <c r="G14" s="1792"/>
      <c r="H14" s="1792"/>
      <c r="I14" s="1792"/>
      <c r="R14" s="448" t="s">
        <v>1052</v>
      </c>
    </row>
    <row r="15" spans="1:43" ht="19.95" customHeight="1" x14ac:dyDescent="0.3">
      <c r="A15" s="9"/>
      <c r="B15" s="222" t="s">
        <v>1061</v>
      </c>
      <c r="C15" s="1791"/>
      <c r="D15" s="1791"/>
      <c r="E15" s="1791"/>
      <c r="F15" s="1791"/>
      <c r="G15" s="1791"/>
      <c r="H15" s="1791"/>
      <c r="I15" s="1791"/>
      <c r="K15" s="330" t="s">
        <v>17</v>
      </c>
      <c r="R15" s="368" t="str">
        <f>IF(C15="","",C15)</f>
        <v/>
      </c>
    </row>
    <row r="16" spans="1:43" ht="19.95" customHeight="1" x14ac:dyDescent="0.3">
      <c r="B16" s="222" t="s">
        <v>1062</v>
      </c>
      <c r="C16" s="1791" t="s">
        <v>17</v>
      </c>
      <c r="D16" s="1791"/>
      <c r="E16" s="1791"/>
      <c r="F16" s="1791"/>
      <c r="G16" s="354" t="s">
        <v>1063</v>
      </c>
      <c r="H16" s="1793"/>
      <c r="I16" s="1793"/>
      <c r="K16" s="330" t="s">
        <v>21</v>
      </c>
      <c r="R16" s="449" t="s">
        <v>1054</v>
      </c>
      <c r="AN16" s="1775" t="s">
        <v>1064</v>
      </c>
      <c r="AO16" s="1776"/>
      <c r="AP16" s="1776"/>
      <c r="AQ16" s="1777"/>
    </row>
    <row r="17" spans="1:45" ht="19.95" customHeight="1" x14ac:dyDescent="0.3">
      <c r="A17" s="10"/>
      <c r="B17" s="222" t="s">
        <v>1065</v>
      </c>
      <c r="C17" s="1792"/>
      <c r="D17" s="1792"/>
      <c r="E17" s="1792"/>
      <c r="F17" s="1792"/>
      <c r="G17" s="1792"/>
      <c r="H17" s="1792"/>
      <c r="I17" s="1792"/>
      <c r="K17" s="330" t="s">
        <v>22</v>
      </c>
      <c r="AN17" s="1781"/>
      <c r="AO17" s="1782"/>
      <c r="AP17" s="1782"/>
      <c r="AQ17" s="1783"/>
    </row>
    <row r="18" spans="1:45" ht="19.95" customHeight="1" x14ac:dyDescent="0.3">
      <c r="A18" s="10"/>
      <c r="B18" s="222" t="s">
        <v>800</v>
      </c>
      <c r="C18" s="1795"/>
      <c r="D18" s="1791"/>
      <c r="E18" s="1791"/>
      <c r="F18" s="1791"/>
      <c r="G18" s="1791"/>
      <c r="H18" s="1791"/>
      <c r="I18" s="1791"/>
      <c r="AN18" s="1775" t="s">
        <v>1066</v>
      </c>
      <c r="AO18" s="1776"/>
      <c r="AP18" s="1776"/>
      <c r="AQ18" s="1777"/>
    </row>
    <row r="19" spans="1:45" ht="19.95" customHeight="1" x14ac:dyDescent="0.3">
      <c r="A19" s="10"/>
      <c r="B19" s="222" t="s">
        <v>1067</v>
      </c>
      <c r="C19" s="1791"/>
      <c r="D19" s="1791"/>
      <c r="E19" s="1791"/>
      <c r="F19" s="1791"/>
      <c r="G19" s="1791"/>
      <c r="H19" s="1791"/>
      <c r="I19" s="1791"/>
      <c r="K19" s="7" t="s">
        <v>1068</v>
      </c>
      <c r="AN19" s="1781"/>
      <c r="AO19" s="1782"/>
      <c r="AP19" s="1782"/>
      <c r="AQ19" s="1783"/>
    </row>
    <row r="20" spans="1:45" x14ac:dyDescent="0.25">
      <c r="A20" s="10"/>
    </row>
    <row r="21" spans="1:45" x14ac:dyDescent="0.25">
      <c r="A21" s="10"/>
    </row>
    <row r="22" spans="1:45" ht="22.95" customHeight="1" x14ac:dyDescent="0.3">
      <c r="A22" s="10"/>
      <c r="H22" s="355" t="s">
        <v>1069</v>
      </c>
      <c r="I22" s="356"/>
      <c r="AN22" s="1775" t="s">
        <v>1070</v>
      </c>
      <c r="AO22" s="1776"/>
      <c r="AP22" s="1776"/>
      <c r="AQ22" s="1777"/>
    </row>
    <row r="23" spans="1:45" ht="22.95" customHeight="1" x14ac:dyDescent="0.3">
      <c r="A23" s="10"/>
      <c r="B23" s="357" t="s">
        <v>1071</v>
      </c>
      <c r="C23" s="358" t="s">
        <v>92</v>
      </c>
      <c r="D23" s="358" t="s">
        <v>96</v>
      </c>
      <c r="E23" s="358" t="s">
        <v>103</v>
      </c>
      <c r="F23" s="358" t="s">
        <v>1072</v>
      </c>
      <c r="G23" s="359" t="s">
        <v>112</v>
      </c>
      <c r="H23" s="360" t="s">
        <v>1073</v>
      </c>
      <c r="I23" s="361" t="s">
        <v>1074</v>
      </c>
      <c r="Q23" s="7">
        <v>0.19</v>
      </c>
      <c r="AN23" s="1781"/>
      <c r="AO23" s="1782"/>
      <c r="AP23" s="1782"/>
      <c r="AQ23" s="1783"/>
    </row>
    <row r="24" spans="1:45" ht="19.95" customHeight="1" x14ac:dyDescent="0.3">
      <c r="A24" s="10"/>
      <c r="B24" s="413" t="str">
        <f>"(abonar a):" &amp;" "  &amp;C15</f>
        <v xml:space="preserve">(abonar a): </v>
      </c>
      <c r="C24" s="417">
        <v>0</v>
      </c>
      <c r="D24" s="418">
        <v>0</v>
      </c>
      <c r="E24" s="418">
        <v>0</v>
      </c>
      <c r="F24" s="418">
        <v>0</v>
      </c>
      <c r="G24" s="419">
        <v>0</v>
      </c>
      <c r="H24" s="363">
        <f>IF(D67&lt;&gt;"",0,I22*Q23)</f>
        <v>0</v>
      </c>
      <c r="I24" s="421">
        <f>IF(D67&lt;&gt;"",0,SUM(C24:H24))</f>
        <v>0</v>
      </c>
      <c r="Q24" s="1803" t="s">
        <v>1075</v>
      </c>
      <c r="R24" s="1804"/>
      <c r="S24" s="441" t="s">
        <v>1076</v>
      </c>
      <c r="T24" s="440" t="s">
        <v>1077</v>
      </c>
      <c r="U24" s="15" t="s">
        <v>875</v>
      </c>
      <c r="V24" s="15" t="s">
        <v>1078</v>
      </c>
    </row>
    <row r="25" spans="1:45" ht="19.95" customHeight="1" x14ac:dyDescent="0.3">
      <c r="A25" s="10"/>
      <c r="B25" s="362" t="s">
        <v>1079</v>
      </c>
      <c r="C25" s="364">
        <v>0</v>
      </c>
      <c r="D25" s="365">
        <v>0</v>
      </c>
      <c r="E25" s="365">
        <v>0</v>
      </c>
      <c r="F25" s="365">
        <v>0</v>
      </c>
      <c r="G25" s="366">
        <v>0</v>
      </c>
      <c r="H25" s="1805" t="s">
        <v>84</v>
      </c>
      <c r="I25" s="421">
        <f>IF(D67&lt;&gt;"",0,SUM(C25:G25))</f>
        <v>0</v>
      </c>
      <c r="Q25" s="367">
        <f>I24</f>
        <v>0</v>
      </c>
      <c r="R25" s="215" t="s">
        <v>875</v>
      </c>
      <c r="S25" s="367">
        <f>I26</f>
        <v>0</v>
      </c>
      <c r="T25" s="367">
        <f>I25</f>
        <v>0</v>
      </c>
      <c r="U25" s="7" t="str">
        <f>IF(OR(C24&lt;&gt;"",C25&lt;&gt;"",C26&lt;&gt;""),C23,"")</f>
        <v>Avión</v>
      </c>
      <c r="V25" s="19">
        <f>SUM(I27+I31+I35)</f>
        <v>0</v>
      </c>
      <c r="AN25" s="1775" t="s">
        <v>1080</v>
      </c>
      <c r="AO25" s="1776"/>
      <c r="AP25" s="1776"/>
      <c r="AQ25" s="1776"/>
      <c r="AR25" s="1776"/>
      <c r="AS25" s="1777"/>
    </row>
    <row r="26" spans="1:45" ht="19.95" customHeight="1" x14ac:dyDescent="0.3">
      <c r="A26" s="10"/>
      <c r="B26" s="412" t="s">
        <v>1081</v>
      </c>
      <c r="C26" s="415">
        <v>0</v>
      </c>
      <c r="D26" s="415">
        <v>0</v>
      </c>
      <c r="E26" s="415">
        <v>0</v>
      </c>
      <c r="F26" s="415">
        <v>0</v>
      </c>
      <c r="G26" s="416">
        <v>0</v>
      </c>
      <c r="H26" s="1806"/>
      <c r="I26" s="421">
        <f>IF(D67&lt;&gt;"",0,SUM(C26:G26))</f>
        <v>0</v>
      </c>
      <c r="J26" s="1810"/>
      <c r="K26" s="1811"/>
      <c r="L26" s="1811"/>
      <c r="M26" s="1811"/>
      <c r="Q26" s="367">
        <f>IF(C31=R7,I31,0)</f>
        <v>0</v>
      </c>
      <c r="R26" s="215" t="s">
        <v>566</v>
      </c>
      <c r="S26" s="367">
        <f>IF(C31=R8,I31,0)</f>
        <v>0</v>
      </c>
      <c r="T26" s="367">
        <f>IF(C31=R9,I31,0)</f>
        <v>0</v>
      </c>
      <c r="U26" s="7" t="str">
        <f>IF(OR(D24&lt;&gt;"",D25&lt;&gt;"",D26&lt;&gt;""),D23,"")</f>
        <v>Tren</v>
      </c>
      <c r="AN26" s="1781"/>
      <c r="AO26" s="1782"/>
      <c r="AP26" s="1782"/>
      <c r="AQ26" s="1782"/>
      <c r="AR26" s="1782"/>
      <c r="AS26" s="1783"/>
    </row>
    <row r="27" spans="1:45" ht="22.95" customHeight="1" x14ac:dyDescent="0.3">
      <c r="A27" s="10"/>
      <c r="B27" s="460" t="s">
        <v>1082</v>
      </c>
      <c r="C27" s="1812" t="s">
        <v>1083</v>
      </c>
      <c r="D27" s="1813"/>
      <c r="E27" s="1813"/>
      <c r="F27" s="1813"/>
      <c r="G27" s="1813"/>
      <c r="H27" s="1814"/>
      <c r="I27" s="446">
        <f>IF(D67&lt;&gt;"",0,SUM(I24:I26))</f>
        <v>0</v>
      </c>
      <c r="Q27" s="367">
        <f>IF(C34=R7,M40,0)</f>
        <v>0</v>
      </c>
      <c r="R27" s="215" t="s">
        <v>848</v>
      </c>
      <c r="S27" s="367">
        <f>IF(C34=R8,I35,0)</f>
        <v>0</v>
      </c>
      <c r="T27" s="367">
        <f>IF(C34=R9,M40,0)</f>
        <v>0</v>
      </c>
      <c r="U27" s="7" t="str">
        <f>IF(OR(E24&lt;&gt;"",E25&lt;&gt;"",E26&lt;&gt;""),E23,"")</f>
        <v>Bus</v>
      </c>
    </row>
    <row r="28" spans="1:45" ht="14.25" customHeight="1" thickBot="1" x14ac:dyDescent="0.3">
      <c r="A28" s="10"/>
      <c r="B28" s="371"/>
      <c r="C28" s="371"/>
      <c r="D28" s="371"/>
      <c r="E28" s="371"/>
      <c r="F28" s="371"/>
      <c r="G28" s="371"/>
      <c r="H28" s="371"/>
      <c r="I28" s="372"/>
      <c r="Q28" s="379">
        <f>I39</f>
        <v>0</v>
      </c>
      <c r="R28" s="444" t="s">
        <v>1084</v>
      </c>
      <c r="S28" s="368"/>
      <c r="T28" s="369"/>
      <c r="U28" s="7" t="str">
        <f>IF(OR(F24&lt;&gt;"",F25&lt;&gt;"",F26&lt;&gt;""),F23,"")</f>
        <v>Taxi</v>
      </c>
      <c r="AN28" s="1775" t="s">
        <v>1085</v>
      </c>
      <c r="AO28" s="1776"/>
      <c r="AP28" s="1776"/>
      <c r="AQ28" s="1777"/>
    </row>
    <row r="29" spans="1:45" ht="22.95" customHeight="1" thickTop="1" thickBot="1" x14ac:dyDescent="0.35">
      <c r="B29" s="225"/>
      <c r="C29" s="1807" t="s">
        <v>1044</v>
      </c>
      <c r="D29" s="1808"/>
      <c r="E29" s="1809" t="str">
        <f>IF(D30="","Debe elegir primero el Decreto en: Elegir Decreto  ▼","")</f>
        <v>Debe elegir primero el Decreto en: Elegir Decreto  ▼</v>
      </c>
      <c r="F29" s="1809"/>
      <c r="G29" s="1809"/>
      <c r="H29" s="1809"/>
      <c r="I29" s="1809"/>
      <c r="Q29" s="367">
        <f>H39</f>
        <v>0</v>
      </c>
      <c r="R29" s="174" t="s">
        <v>1086</v>
      </c>
      <c r="S29" s="368"/>
      <c r="T29" s="369"/>
      <c r="U29" s="7" t="str">
        <f>IF(OR(G24&lt;&gt;"",G25&lt;&gt;"",G26&lt;&gt;""),G23,"")</f>
        <v>Metro</v>
      </c>
      <c r="AN29" s="1781"/>
      <c r="AO29" s="1782"/>
      <c r="AP29" s="1782"/>
      <c r="AQ29" s="1783"/>
    </row>
    <row r="30" spans="1:45" ht="19.95" customHeight="1" thickTop="1" thickBot="1" x14ac:dyDescent="0.35">
      <c r="B30" s="225"/>
      <c r="C30" s="424" t="s">
        <v>1087</v>
      </c>
      <c r="D30" s="425" t="str">
        <f>IF(C29=R3,T3,IF(C29=R4,T4,IF(C29=R5,T5,"")))</f>
        <v/>
      </c>
      <c r="E30" s="429" t="s">
        <v>161</v>
      </c>
      <c r="F30" s="428" t="s">
        <v>1088</v>
      </c>
      <c r="G30" s="1796" t="str">
        <f>IF(C31="No hay gstos","",IF(C31=C15,"","Indicar el nombre del perceptor"))</f>
        <v>Indicar el nombre del perceptor</v>
      </c>
      <c r="H30" s="1797"/>
      <c r="I30" s="430" t="s">
        <v>1089</v>
      </c>
      <c r="L30" s="15" t="s">
        <v>1090</v>
      </c>
      <c r="M30" s="15" t="s">
        <v>612</v>
      </c>
      <c r="N30" s="15" t="s">
        <v>794</v>
      </c>
      <c r="Q30" s="373" t="s">
        <v>1091</v>
      </c>
      <c r="R30" s="374" t="s">
        <v>1092</v>
      </c>
      <c r="S30" s="368"/>
      <c r="T30" s="369"/>
      <c r="U30" s="7" t="str">
        <f>IF(H24&lt;&gt;0,H23,"")</f>
        <v/>
      </c>
    </row>
    <row r="31" spans="1:45" ht="22.95" customHeight="1" thickTop="1" thickBot="1" x14ac:dyDescent="0.35">
      <c r="B31" s="375" t="s">
        <v>1093</v>
      </c>
      <c r="C31" s="1798" t="s">
        <v>1052</v>
      </c>
      <c r="D31" s="1799"/>
      <c r="E31" s="423"/>
      <c r="F31" s="406" t="str">
        <f>IF(E31="","",I31/E31)</f>
        <v/>
      </c>
      <c r="G31" s="1815"/>
      <c r="H31" s="1816"/>
      <c r="I31" s="420">
        <v>0</v>
      </c>
      <c r="K31" s="409" t="str">
        <f>IF(C29=R2,"",I31)</f>
        <v/>
      </c>
      <c r="L31" s="400" t="str">
        <f>IF(D30="","",D30*E31)</f>
        <v/>
      </c>
      <c r="M31" s="7" t="str">
        <f>IF(E31="","",E31*F31)</f>
        <v/>
      </c>
      <c r="N31" s="19" t="str">
        <f>IF(E31="","",IF(D30="","",M31-L31))</f>
        <v/>
      </c>
      <c r="Q31" s="438" t="str">
        <f>IF(D67&lt;&gt;"","",SUM(Q25:Q29))</f>
        <v/>
      </c>
      <c r="R31" s="439" t="str">
        <f>IF(D67&lt;&gt;"","",SUM(Q25:Q28))</f>
        <v/>
      </c>
      <c r="S31" s="369"/>
      <c r="T31" s="369"/>
    </row>
    <row r="32" spans="1:45" ht="22.2" customHeight="1" thickTop="1" x14ac:dyDescent="0.3">
      <c r="B32" s="461" t="s">
        <v>1094</v>
      </c>
      <c r="C32" s="426"/>
      <c r="D32" s="427"/>
      <c r="E32" s="407"/>
      <c r="F32" s="1794" t="str">
        <f>IF(I31=0,"",IF(N31&gt;0,"Supera el Decreto de dietas en:",""))</f>
        <v/>
      </c>
      <c r="G32" s="1794"/>
      <c r="H32" s="1794"/>
      <c r="I32" s="408" t="str">
        <f>IF(I31=0,"",IF(N31&gt;0,N31,""))</f>
        <v/>
      </c>
      <c r="K32" s="414" t="str">
        <f>IF(AND(I31&lt;&gt;0,C31=R6),"aloja","")</f>
        <v/>
      </c>
      <c r="S32" s="368"/>
      <c r="T32" s="369"/>
    </row>
    <row r="33" spans="2:45" ht="22.2" customHeight="1" thickBot="1" x14ac:dyDescent="0.35">
      <c r="B33" s="222"/>
      <c r="C33" s="94"/>
      <c r="D33" s="94"/>
      <c r="E33" s="376"/>
      <c r="F33" s="403"/>
      <c r="G33" s="403"/>
      <c r="H33" s="403"/>
      <c r="I33" s="377"/>
      <c r="S33" s="368"/>
      <c r="T33" s="369"/>
    </row>
    <row r="34" spans="2:45" ht="22.95" customHeight="1" thickTop="1" thickBot="1" x14ac:dyDescent="0.35">
      <c r="B34" s="375" t="s">
        <v>1095</v>
      </c>
      <c r="C34" s="1826" t="s">
        <v>1054</v>
      </c>
      <c r="D34" s="1827"/>
      <c r="E34" s="1834" t="s">
        <v>1096</v>
      </c>
      <c r="F34" s="1835"/>
      <c r="G34" s="1836" t="str">
        <f>IF(C34="No hay gastos","",IF(C34=C15,"","Indicar el nombre del perceptor en la celda inferior"))</f>
        <v>Indicar el nombre del perceptor en la celda inferior</v>
      </c>
      <c r="H34" s="1837"/>
      <c r="I34" s="378" t="s">
        <v>1089</v>
      </c>
      <c r="S34" s="368"/>
      <c r="T34" s="369"/>
      <c r="AB34" s="447" t="s">
        <v>1097</v>
      </c>
    </row>
    <row r="35" spans="2:45" ht="19.95" customHeight="1" thickTop="1" x14ac:dyDescent="0.3">
      <c r="C35" s="1820" t="s">
        <v>1098</v>
      </c>
      <c r="D35" s="1821"/>
      <c r="E35" s="455" t="s">
        <v>1099</v>
      </c>
      <c r="F35" s="454" t="s">
        <v>1100</v>
      </c>
      <c r="G35" s="1838"/>
      <c r="H35" s="1839"/>
      <c r="I35" s="422">
        <v>0</v>
      </c>
      <c r="L35" s="433" t="str">
        <f>IF(C29=R2,"",I35)</f>
        <v/>
      </c>
      <c r="M35" s="451">
        <f>IF(I35&gt;I36,I36,I35)</f>
        <v>0</v>
      </c>
      <c r="N35" s="453" t="s">
        <v>611</v>
      </c>
      <c r="O35" s="367">
        <f>I36</f>
        <v>0</v>
      </c>
      <c r="S35" s="379"/>
      <c r="T35" s="379"/>
    </row>
    <row r="36" spans="2:45" ht="19.95" customHeight="1" x14ac:dyDescent="0.3">
      <c r="B36" s="375"/>
      <c r="C36" s="1822" t="s">
        <v>1101</v>
      </c>
      <c r="D36" s="1823"/>
      <c r="E36" s="402"/>
      <c r="F36" s="404" t="str">
        <f>IF(C29=R3,U3,IF(C29=R4,U4,IF(C29=R5,U5,"")))</f>
        <v/>
      </c>
      <c r="G36" s="1857"/>
      <c r="H36" s="1858"/>
      <c r="I36" s="1831">
        <f>IF(AND(I35&lt;&gt;0,E34=L46),"Borre el importe de la factura",IF(C34=R6,0,IF(C34=R8,0,L39)))</f>
        <v>0</v>
      </c>
      <c r="K36" s="459" t="str">
        <f>IF(E36="","",E36)</f>
        <v/>
      </c>
      <c r="L36" s="433">
        <f>IF(F36="",0,E36*F36)</f>
        <v>0</v>
      </c>
      <c r="M36" s="452"/>
      <c r="N36" s="167" t="s">
        <v>612</v>
      </c>
      <c r="O36" s="367">
        <f>I35</f>
        <v>0</v>
      </c>
      <c r="S36" s="436">
        <f>SUM(S25:S35)</f>
        <v>0</v>
      </c>
      <c r="T36" s="437">
        <f>SUM(T25:T35)</f>
        <v>0</v>
      </c>
      <c r="AM36" s="1775" t="s">
        <v>1102</v>
      </c>
      <c r="AN36" s="1776"/>
      <c r="AO36" s="1776"/>
      <c r="AP36" s="1776"/>
      <c r="AQ36" s="1776"/>
      <c r="AR36" s="1776"/>
      <c r="AS36" s="1777"/>
    </row>
    <row r="37" spans="2:45" ht="19.95" customHeight="1" x14ac:dyDescent="0.3">
      <c r="B37" s="225"/>
      <c r="C37" s="1822" t="s">
        <v>1103</v>
      </c>
      <c r="D37" s="1823"/>
      <c r="E37" s="402"/>
      <c r="F37" s="405" t="str">
        <f>IF(C29=R3,V3,IF(C29=R4,V4,IF(C29=R5,V5,"")))</f>
        <v/>
      </c>
      <c r="G37" s="1859"/>
      <c r="H37" s="1860"/>
      <c r="I37" s="1832"/>
      <c r="K37" s="459" t="str">
        <f>IF(E37="","",E37)</f>
        <v/>
      </c>
      <c r="L37" s="433">
        <f>IF(F37="",0,E37*F37)</f>
        <v>0</v>
      </c>
      <c r="M37" s="1784" t="s">
        <v>1104</v>
      </c>
      <c r="N37" s="167" t="s">
        <v>794</v>
      </c>
      <c r="O37" s="367">
        <f>IF(O35="Borre el importe de la factura","",O36-O35)</f>
        <v>0</v>
      </c>
      <c r="AM37" s="1778"/>
      <c r="AN37" s="1779"/>
      <c r="AO37" s="1779"/>
      <c r="AP37" s="1779"/>
      <c r="AQ37" s="1779"/>
      <c r="AR37" s="1779"/>
      <c r="AS37" s="1780"/>
    </row>
    <row r="38" spans="2:45" ht="22.2" customHeight="1" x14ac:dyDescent="0.3">
      <c r="B38" s="225"/>
      <c r="C38" s="1833" t="str">
        <f>IF(AND(K38=0,I35&lt;&gt;0),"Falta indicar el Nº de días",IF(I36="Borre el importe de la factura","",(IF(E34=L44,"Elija entre abonar por Factura o Decreto",IF(I35=0,"",IF(O37&gt;0,"Supera el Decreto de dietas en:",""))))))</f>
        <v/>
      </c>
      <c r="D38" s="1833"/>
      <c r="E38" s="1833"/>
      <c r="F38" s="1833"/>
      <c r="G38" s="1833"/>
      <c r="H38" s="1833"/>
      <c r="I38" s="457" t="str">
        <f>IF(I36="Borre el importe de la factura",0,IF(E34=L44,0,IF(I35=0,"",IF(O37&gt;0,O37,""))))</f>
        <v/>
      </c>
      <c r="K38" s="459">
        <f>SUM(K36:K37)</f>
        <v>0</v>
      </c>
      <c r="L38" s="434" t="s">
        <v>1105</v>
      </c>
      <c r="M38" s="1785"/>
      <c r="AM38" s="1778"/>
      <c r="AN38" s="1779"/>
      <c r="AO38" s="1779"/>
      <c r="AP38" s="1779"/>
      <c r="AQ38" s="1779"/>
      <c r="AR38" s="1779"/>
      <c r="AS38" s="1780"/>
    </row>
    <row r="39" spans="2:45" ht="22.95" customHeight="1" x14ac:dyDescent="0.3">
      <c r="B39" s="375" t="s">
        <v>1106</v>
      </c>
      <c r="C39" s="1824" t="str">
        <f>IF(C15="","",C15)</f>
        <v/>
      </c>
      <c r="D39" s="1824"/>
      <c r="E39" s="442">
        <v>0</v>
      </c>
      <c r="F39" s="473" t="s">
        <v>1107</v>
      </c>
      <c r="G39" s="411"/>
      <c r="H39" s="445">
        <f>IF(D67&lt;&gt;"",0,E39*G39)</f>
        <v>0</v>
      </c>
      <c r="I39" s="456">
        <f>IF(D67&lt;&gt;"",0,E39-H39)</f>
        <v>0</v>
      </c>
      <c r="L39" s="435">
        <f>SUM(L36:L37)</f>
        <v>0</v>
      </c>
      <c r="M39" s="1786"/>
      <c r="AM39" s="1778"/>
      <c r="AN39" s="1779"/>
      <c r="AO39" s="1779"/>
      <c r="AP39" s="1779"/>
      <c r="AQ39" s="1779"/>
      <c r="AR39" s="1779"/>
      <c r="AS39" s="1780"/>
    </row>
    <row r="40" spans="2:45" ht="14.25" customHeight="1" x14ac:dyDescent="0.25">
      <c r="L40" s="19"/>
      <c r="M40" s="19">
        <f>IF(E34=L44,0,IF(E34=L45,I35,IF(E34=L46,L39,"")))</f>
        <v>0</v>
      </c>
      <c r="AM40" s="1778"/>
      <c r="AN40" s="1779"/>
      <c r="AO40" s="1779"/>
      <c r="AP40" s="1779"/>
      <c r="AQ40" s="1779"/>
      <c r="AR40" s="1779"/>
      <c r="AS40" s="1780"/>
    </row>
    <row r="41" spans="2:45" ht="17.399999999999999" x14ac:dyDescent="0.3">
      <c r="F41" s="1825" t="s">
        <v>1108</v>
      </c>
      <c r="G41" s="1825"/>
      <c r="H41" s="1825"/>
      <c r="I41" s="443">
        <f>IF(C38="Falta indicar el Nº de días","",IF(I36="Borre el importe de la factura","",IF(D67&lt;&gt;"",0,SUM(Q31+S36+T36))))</f>
        <v>0</v>
      </c>
      <c r="L41" s="15" t="s">
        <v>1052</v>
      </c>
      <c r="AM41" s="1781"/>
      <c r="AN41" s="1782"/>
      <c r="AO41" s="1782"/>
      <c r="AP41" s="1782"/>
      <c r="AQ41" s="1782"/>
      <c r="AR41" s="1782"/>
      <c r="AS41" s="1783"/>
    </row>
    <row r="42" spans="2:45" ht="13.95" customHeight="1" x14ac:dyDescent="0.25">
      <c r="L42" s="450" t="s">
        <v>456</v>
      </c>
    </row>
    <row r="43" spans="2:45" ht="17.399999999999999" x14ac:dyDescent="0.3">
      <c r="C43" s="1828" t="str">
        <f>IF(D67&lt;&gt;"","","PAGOS A TERCEROS:")</f>
        <v/>
      </c>
      <c r="D43" s="1828"/>
      <c r="E43" s="1828"/>
      <c r="F43" s="1828"/>
      <c r="G43" s="1828"/>
      <c r="H43" s="1828"/>
      <c r="I43" s="410" t="str">
        <f>IF(D67&lt;&gt;"","",S36)</f>
        <v/>
      </c>
      <c r="L43" s="15" t="s">
        <v>1109</v>
      </c>
    </row>
    <row r="44" spans="2:45" ht="19.95" customHeight="1" x14ac:dyDescent="0.3">
      <c r="B44" s="1829" t="str">
        <f>IF(C15="","","Total abonar a: "&amp;" "&amp;C15)&amp;" "&amp;TEXT((Q31),"#.###,00 €")&amp;" líquido a percibir:"&amp;"          "&amp;TEXT((R31),"#.###,00 €")</f>
        <v xml:space="preserve">  líquido a percibir:          </v>
      </c>
      <c r="C44" s="1829"/>
      <c r="D44" s="1829"/>
      <c r="E44" s="1829"/>
      <c r="F44" s="1829"/>
      <c r="G44" s="1829"/>
      <c r="H44" s="1829"/>
      <c r="I44" s="1829"/>
      <c r="L44" s="15" t="s">
        <v>1110</v>
      </c>
    </row>
    <row r="45" spans="2:45" ht="19.95" customHeight="1" x14ac:dyDescent="0.3">
      <c r="B45" s="1830" t="str">
        <f>IF(C38="Falta indicar el Nº de días","",IF(I36="Borre el importe de la factura","Borre el importe de la factura",IF(D67&lt;&gt;"","",IF(C15="","","Total abonar a: "&amp;" "&amp;R9)&amp;" "&amp;TEXT((T36),"#.###,00 €"))))</f>
        <v/>
      </c>
      <c r="C45" s="1830"/>
      <c r="D45" s="1830"/>
      <c r="E45" s="1830"/>
      <c r="F45" s="1830"/>
      <c r="G45" s="1830"/>
      <c r="H45" s="1830"/>
      <c r="I45" s="1830"/>
      <c r="L45" s="15" t="s">
        <v>1096</v>
      </c>
    </row>
    <row r="46" spans="2:45" ht="19.95" customHeight="1" x14ac:dyDescent="0.3">
      <c r="C46" s="380"/>
      <c r="D46" s="380"/>
      <c r="E46" s="380"/>
      <c r="F46" s="380"/>
      <c r="G46" s="380"/>
      <c r="H46" s="380"/>
      <c r="I46" s="380"/>
      <c r="L46" s="15" t="s">
        <v>1111</v>
      </c>
    </row>
    <row r="47" spans="2:45" ht="14.25" customHeight="1" x14ac:dyDescent="0.3">
      <c r="C47" s="381"/>
      <c r="D47" s="381"/>
      <c r="E47" s="381"/>
      <c r="F47" s="381"/>
      <c r="G47" s="381"/>
      <c r="H47" s="381"/>
      <c r="I47" s="381"/>
    </row>
    <row r="48" spans="2:45" ht="14.25" customHeight="1" x14ac:dyDescent="0.3">
      <c r="C48" s="1788" t="s">
        <v>1112</v>
      </c>
      <c r="D48" s="1788"/>
      <c r="E48" s="1789" t="str">
        <f>IF(C15="","",C15)</f>
        <v/>
      </c>
      <c r="F48" s="1789"/>
      <c r="G48" s="1789"/>
      <c r="H48" s="1789"/>
      <c r="I48" s="381"/>
    </row>
    <row r="49" spans="2:46" ht="19.95" customHeight="1" x14ac:dyDescent="0.3">
      <c r="B49" s="222" t="s">
        <v>1113</v>
      </c>
      <c r="C49" s="382"/>
      <c r="D49" s="382"/>
      <c r="E49" s="382"/>
      <c r="F49" s="382"/>
      <c r="G49" s="382"/>
      <c r="H49" s="383"/>
    </row>
    <row r="50" spans="2:46" ht="19.95" customHeight="1" x14ac:dyDescent="0.3">
      <c r="B50" s="222" t="s">
        <v>1114</v>
      </c>
      <c r="C50" s="1817"/>
      <c r="D50" s="1818"/>
      <c r="E50" s="1818"/>
      <c r="F50" s="1818"/>
      <c r="G50" s="1818"/>
      <c r="H50" s="1819"/>
    </row>
    <row r="51" spans="2:46" ht="19.95" customHeight="1" x14ac:dyDescent="0.3">
      <c r="B51" s="222" t="s">
        <v>1115</v>
      </c>
      <c r="C51" s="1817"/>
      <c r="D51" s="1818"/>
      <c r="E51" s="1818"/>
      <c r="F51" s="1818"/>
      <c r="G51" s="1818"/>
      <c r="H51" s="1819"/>
    </row>
    <row r="52" spans="2:46" x14ac:dyDescent="0.25">
      <c r="AN52" s="1775" t="s">
        <v>1116</v>
      </c>
      <c r="AO52" s="1776"/>
      <c r="AP52" s="1777"/>
    </row>
    <row r="53" spans="2:46" x14ac:dyDescent="0.25">
      <c r="B53" s="401" t="s">
        <v>1117</v>
      </c>
      <c r="AN53" s="1781"/>
      <c r="AO53" s="1782"/>
      <c r="AP53" s="1783"/>
    </row>
    <row r="55" spans="2:46" x14ac:dyDescent="0.25">
      <c r="B55" s="219" t="s">
        <v>1118</v>
      </c>
      <c r="C55" s="1840">
        <v>0</v>
      </c>
      <c r="D55" s="1841"/>
      <c r="F55" s="219" t="s">
        <v>1119</v>
      </c>
      <c r="G55" s="544"/>
    </row>
    <row r="56" spans="2:46" x14ac:dyDescent="0.25">
      <c r="B56" s="219" t="s">
        <v>1118</v>
      </c>
      <c r="C56" s="1840">
        <v>0</v>
      </c>
      <c r="D56" s="1841"/>
      <c r="F56" s="219" t="s">
        <v>1119</v>
      </c>
      <c r="G56" s="544"/>
      <c r="AN56" s="1775" t="s">
        <v>1120</v>
      </c>
      <c r="AO56" s="1776"/>
      <c r="AP56" s="1776"/>
      <c r="AQ56" s="1776"/>
      <c r="AR56" s="1776"/>
      <c r="AS56" s="1777"/>
    </row>
    <row r="57" spans="2:46" x14ac:dyDescent="0.25">
      <c r="AN57" s="1778"/>
      <c r="AO57" s="1779"/>
      <c r="AP57" s="1779"/>
      <c r="AQ57" s="1779"/>
      <c r="AR57" s="1779"/>
      <c r="AS57" s="1780"/>
    </row>
    <row r="58" spans="2:46" x14ac:dyDescent="0.25">
      <c r="AN58" s="1778"/>
      <c r="AO58" s="1779"/>
      <c r="AP58" s="1779"/>
      <c r="AQ58" s="1779"/>
      <c r="AR58" s="1779"/>
      <c r="AS58" s="1780"/>
    </row>
    <row r="59" spans="2:46" ht="13.8" x14ac:dyDescent="0.25">
      <c r="B59" s="18" t="s">
        <v>1121</v>
      </c>
      <c r="C59" s="1683"/>
      <c r="D59" s="1683"/>
      <c r="E59" s="1683"/>
      <c r="F59" s="1683"/>
      <c r="G59" s="1683"/>
      <c r="H59" s="1683"/>
      <c r="I59" s="462">
        <v>0</v>
      </c>
      <c r="AN59" s="1778"/>
      <c r="AO59" s="1779"/>
      <c r="AP59" s="1779"/>
      <c r="AQ59" s="1779"/>
      <c r="AR59" s="1779"/>
      <c r="AS59" s="1780"/>
    </row>
    <row r="60" spans="2:46" x14ac:dyDescent="0.25">
      <c r="AN60" s="1778"/>
      <c r="AO60" s="1779"/>
      <c r="AP60" s="1779"/>
      <c r="AQ60" s="1779"/>
      <c r="AR60" s="1779"/>
      <c r="AS60" s="1780"/>
    </row>
    <row r="61" spans="2:46" x14ac:dyDescent="0.25">
      <c r="C61" s="18" t="s">
        <v>1122</v>
      </c>
      <c r="D61" s="1865"/>
      <c r="E61" s="1865"/>
      <c r="F61" s="1865"/>
      <c r="G61" s="1865"/>
      <c r="H61" s="1865"/>
      <c r="AN61" s="1775" t="s">
        <v>1123</v>
      </c>
      <c r="AO61" s="1776"/>
      <c r="AP61" s="1776"/>
      <c r="AQ61" s="1776"/>
      <c r="AR61" s="1776"/>
      <c r="AS61" s="1776"/>
      <c r="AT61" s="1777"/>
    </row>
    <row r="62" spans="2:46" x14ac:dyDescent="0.25">
      <c r="AN62" s="1778"/>
      <c r="AO62" s="1779"/>
      <c r="AP62" s="1779"/>
      <c r="AQ62" s="1779"/>
      <c r="AR62" s="1779"/>
      <c r="AS62" s="1779"/>
      <c r="AT62" s="1780"/>
    </row>
    <row r="63" spans="2:46" x14ac:dyDescent="0.25">
      <c r="AN63" s="1778"/>
      <c r="AO63" s="1779"/>
      <c r="AP63" s="1779"/>
      <c r="AQ63" s="1779"/>
      <c r="AR63" s="1779"/>
      <c r="AS63" s="1779"/>
      <c r="AT63" s="1780"/>
    </row>
    <row r="64" spans="2:46" x14ac:dyDescent="0.25">
      <c r="AN64" s="1778"/>
      <c r="AO64" s="1779"/>
      <c r="AP64" s="1779"/>
      <c r="AQ64" s="1779"/>
      <c r="AR64" s="1779"/>
      <c r="AS64" s="1779"/>
      <c r="AT64" s="1780"/>
    </row>
    <row r="65" spans="2:46" x14ac:dyDescent="0.25">
      <c r="AN65" s="1781"/>
      <c r="AO65" s="1782"/>
      <c r="AP65" s="1782"/>
      <c r="AQ65" s="1782"/>
      <c r="AR65" s="1782"/>
      <c r="AS65" s="1782"/>
      <c r="AT65" s="1783"/>
    </row>
    <row r="66" spans="2:46" x14ac:dyDescent="0.25">
      <c r="AN66" s="1775" t="s">
        <v>1124</v>
      </c>
      <c r="AO66" s="1776"/>
      <c r="AP66" s="1776"/>
      <c r="AQ66" s="1777"/>
    </row>
    <row r="67" spans="2:46" ht="15.6" x14ac:dyDescent="0.3">
      <c r="C67" s="225" t="str">
        <f>IF(C16=K16,"CONFORME","")</f>
        <v/>
      </c>
      <c r="D67" s="1552" t="str">
        <f>IF(C12="","LIQUIDACIÓN NO VÁLIDA, FALTA INDICAR SU NOMBRE",IF(C13="","LIQUIDACIÓN NO VÁLIDA FALTA INDICAR EL PROYECTO",IF(C14="","LIQUIDACIÓN NO VALIDA, FALTA INDICAR LA ORGÁNICA Y PROYECTO",IF(C16="","LIQUIDACIÓN NO VÁLIDA, FALTA INDICAR LA NACIONALIDAD",IF(H16="","LIQUIDACIÓN NO VÁLIDA, FALTA INDICAR DNI/ Pasaporte",IF(C17="","LIQUIDACIÓN NO VÁLIDA, FALTA INDICAR EL DOMILIO",IF(AND(C31=R6,I31&gt;0),"LIQUIDACIÓN NO VÁLIDA, ELIJA A QUIÉN SE LE ABONA",IF(AND(I31&lt;&gt;0,E31=""),"LIQUIDACIÓN NO VÁLIDA, FALTA INDICAR EL Nº DE NOCHES",IF(AND(C31&lt;&gt;C15,G31="",I31&gt;0),"LIQUIDACIÓN NO VÁLIDA, FALTA INDICAR EL NOMBRE DEL PERCEPTOR",IF(AND(C34=R6,M35&gt;0),"LIQUIDACIÓN NO VÁLIDA, ELIJA A QUIÉN SE LE ABONA",IF(AND(I35&lt;&gt;0,K38=0),"LIQUIDACIÓN NO VÁLIDA, FALTA INDICAR EL Nº DE DÍAS",IF(AND(I35&lt;&gt;0,C36=""),"LIQUIDACIÓN NO VÁLIDA, FALTA INDICAR EL Nº DE COMENSALES",IF(AND(C34&lt;&gt;C15,G36="",I35&gt;0),"LIQUIDACIÓN NO VÁLIDA, INDIQUE EL NOMBRE DEL PERCEPTOR",IF(AND(C34&lt;&gt;C15,G36="",I36&gt;0),"LIQUIDACIÓN NO VÁLIDA, INDIQUE EL NOMBRE DEL PERCEPTOR",IF(I36="Borre el importe de la factura","Borre el importe de la factura",IF(C38="Falta indicar el Nº de días","Falta indicar el Nº de días",IF(C38="Elija entre abonar por Factura o Decreto","Elija entre abonar por Factura o Decreto","")))))))))))))))))</f>
        <v>LIQUIDACIÓN NO VÁLIDA, FALTA INDICAR SU NOMBRE</v>
      </c>
      <c r="E67" s="1866"/>
      <c r="F67" s="1866"/>
      <c r="G67" s="1866"/>
      <c r="H67" s="1866"/>
      <c r="I67" s="1866"/>
      <c r="AN67" s="1781"/>
      <c r="AO67" s="1782"/>
      <c r="AP67" s="1782"/>
      <c r="AQ67" s="1783"/>
    </row>
    <row r="69" spans="2:46" ht="15.6" x14ac:dyDescent="0.3">
      <c r="B69" s="222" t="str">
        <f>IF(C16=K16,"Fd..","")</f>
        <v/>
      </c>
      <c r="C69" s="1809" t="str">
        <f>IF(C15="","",C15)</f>
        <v/>
      </c>
      <c r="D69" s="1809"/>
      <c r="E69" s="1809"/>
      <c r="F69" s="18" t="s">
        <v>1125</v>
      </c>
      <c r="G69" s="384" t="str">
        <f>IF(C12="","",C12)</f>
        <v/>
      </c>
      <c r="H69" s="385"/>
      <c r="I69" s="385"/>
    </row>
    <row r="70" spans="2:46" ht="15" x14ac:dyDescent="0.25">
      <c r="B70" s="225"/>
      <c r="C70" s="1854" t="str">
        <f>IF(C16=K16,K19,"")</f>
        <v/>
      </c>
      <c r="D70" s="1854"/>
      <c r="E70" s="225"/>
      <c r="G70" s="225" t="s">
        <v>1126</v>
      </c>
      <c r="H70" s="225"/>
      <c r="I70" s="225"/>
    </row>
    <row r="73" spans="2:46" x14ac:dyDescent="0.25">
      <c r="C73" s="7" t="str">
        <f>IF(C16= "EXTRANJERA (SIN RESIDENCIA EN ESPAÑA)","ESTA LIQUIDACIÓN SOLO TIENE QUE SER FIRMARLA POR EL I.P. (POR PORTAFIRMAS U.S)","")</f>
        <v/>
      </c>
    </row>
    <row r="83" spans="2:44" x14ac:dyDescent="0.25">
      <c r="B83" s="15" t="s">
        <v>1127</v>
      </c>
    </row>
    <row r="84" spans="2:44" x14ac:dyDescent="0.25">
      <c r="B84" s="15"/>
    </row>
    <row r="85" spans="2:44" x14ac:dyDescent="0.25">
      <c r="B85" s="386" t="s">
        <v>1128</v>
      </c>
      <c r="G85" s="431" t="s">
        <v>1129</v>
      </c>
      <c r="H85" s="386" t="s">
        <v>1130</v>
      </c>
      <c r="J85" s="431" t="s">
        <v>1129</v>
      </c>
      <c r="AN85" s="1775" t="s">
        <v>1131</v>
      </c>
      <c r="AO85" s="1776"/>
      <c r="AP85" s="1776"/>
      <c r="AQ85" s="1776"/>
      <c r="AR85" s="1777"/>
    </row>
    <row r="86" spans="2:44" x14ac:dyDescent="0.25">
      <c r="B86" s="386" t="s">
        <v>1132</v>
      </c>
      <c r="E86" s="1867" t="s">
        <v>1133</v>
      </c>
      <c r="F86" s="1867"/>
      <c r="AN86" s="1781"/>
      <c r="AO86" s="1782"/>
      <c r="AP86" s="1782"/>
      <c r="AQ86" s="1782"/>
      <c r="AR86" s="1783"/>
    </row>
    <row r="87" spans="2:44" x14ac:dyDescent="0.25">
      <c r="B87" s="386" t="s">
        <v>1134</v>
      </c>
      <c r="D87" s="1868" t="s">
        <v>1117</v>
      </c>
      <c r="E87" s="1868"/>
      <c r="F87" s="1868"/>
      <c r="H87" s="20"/>
    </row>
    <row r="88" spans="2:44" x14ac:dyDescent="0.25">
      <c r="B88" s="386" t="s">
        <v>1135</v>
      </c>
      <c r="C88" s="387"/>
      <c r="D88" s="387"/>
      <c r="E88" s="387"/>
      <c r="F88" s="1863"/>
      <c r="G88" s="1863"/>
      <c r="H88" s="1863"/>
    </row>
    <row r="89" spans="2:44" ht="10.95" customHeight="1" x14ac:dyDescent="0.25">
      <c r="B89" s="386" t="s">
        <v>1136</v>
      </c>
      <c r="F89" s="431"/>
    </row>
    <row r="90" spans="2:44" x14ac:dyDescent="0.25">
      <c r="B90" s="21"/>
      <c r="D90" s="1864"/>
      <c r="E90" s="1864"/>
      <c r="F90" s="1864"/>
      <c r="G90" s="1864"/>
      <c r="H90" s="1864"/>
    </row>
    <row r="94" spans="2:44" hidden="1" x14ac:dyDescent="0.25"/>
    <row r="95" spans="2:44" hidden="1" x14ac:dyDescent="0.25">
      <c r="C95" s="1847" t="s">
        <v>1137</v>
      </c>
      <c r="D95" s="1848"/>
      <c r="E95" s="1848"/>
      <c r="F95" s="1848"/>
      <c r="G95" s="1849"/>
    </row>
    <row r="96" spans="2:44" hidden="1" x14ac:dyDescent="0.25">
      <c r="C96" s="1847" t="str">
        <f>IF(AND(C99=D99,C100&lt;C97,D100&gt;E97),"Manutención sin pernoctar",IF(AND(C99=D99,C100&gt;C97,D100&lt;E97),"No corresponde dienta",IF(AND(C99=D99,C100&gt;D100&gt;E97),"1/2 Manutención",IF(AND(C99=D99,C100&lt;D100&gt;D97,D100&lt;E97),"1/2 Manutención",""))))</f>
        <v>1/2 Manutención</v>
      </c>
      <c r="D96" s="1848"/>
      <c r="E96" s="1848"/>
      <c r="F96" s="1848"/>
      <c r="G96" s="1849"/>
    </row>
    <row r="97" spans="3:7" hidden="1" x14ac:dyDescent="0.25">
      <c r="C97" s="388">
        <v>0.58333333333333304</v>
      </c>
      <c r="D97" s="388">
        <v>0.625</v>
      </c>
      <c r="E97" s="388">
        <v>0.91666666666666696</v>
      </c>
    </row>
    <row r="98" spans="3:7" hidden="1" x14ac:dyDescent="0.25">
      <c r="C98" s="221" t="s">
        <v>1138</v>
      </c>
      <c r="D98" s="221" t="s">
        <v>1139</v>
      </c>
    </row>
    <row r="99" spans="3:7" hidden="1" x14ac:dyDescent="0.25">
      <c r="C99" s="389">
        <f>C17</f>
        <v>0</v>
      </c>
      <c r="D99" s="389">
        <f>C18</f>
        <v>0</v>
      </c>
    </row>
    <row r="100" spans="3:7" hidden="1" x14ac:dyDescent="0.25">
      <c r="C100" s="390">
        <f>D17</f>
        <v>0</v>
      </c>
      <c r="D100" s="390">
        <f>D18</f>
        <v>0</v>
      </c>
    </row>
    <row r="101" spans="3:7" hidden="1" x14ac:dyDescent="0.25"/>
    <row r="102" spans="3:7" hidden="1" x14ac:dyDescent="0.25"/>
    <row r="103" spans="3:7" hidden="1" x14ac:dyDescent="0.25">
      <c r="C103" s="1847" t="s">
        <v>1140</v>
      </c>
      <c r="D103" s="1848"/>
      <c r="E103" s="1848"/>
      <c r="F103" s="1848"/>
      <c r="G103" s="1849"/>
    </row>
    <row r="104" spans="3:7" hidden="1" x14ac:dyDescent="0.25">
      <c r="C104" s="391" t="s">
        <v>1141</v>
      </c>
      <c r="D104" s="391" t="s">
        <v>1142</v>
      </c>
      <c r="E104" s="392"/>
      <c r="F104" s="391" t="s">
        <v>1141</v>
      </c>
      <c r="G104" s="391" t="s">
        <v>1142</v>
      </c>
    </row>
    <row r="105" spans="3:7" hidden="1" x14ac:dyDescent="0.25">
      <c r="C105" s="389">
        <f>C17</f>
        <v>0</v>
      </c>
      <c r="D105" s="389">
        <f>C18</f>
        <v>0</v>
      </c>
      <c r="E105" s="393"/>
      <c r="F105" s="389">
        <f>F17</f>
        <v>0</v>
      </c>
      <c r="G105" s="389">
        <f>F18</f>
        <v>0</v>
      </c>
    </row>
    <row r="106" spans="3:7" hidden="1" x14ac:dyDescent="0.25">
      <c r="C106" s="390">
        <f>D17</f>
        <v>0</v>
      </c>
      <c r="D106" s="390">
        <f>D18</f>
        <v>0</v>
      </c>
      <c r="E106" s="394"/>
      <c r="F106" s="390">
        <f>G17</f>
        <v>0</v>
      </c>
      <c r="G106" s="390">
        <f>G18</f>
        <v>0</v>
      </c>
    </row>
    <row r="107" spans="3:7" hidden="1" x14ac:dyDescent="0.25">
      <c r="C107" s="395" t="s">
        <v>1143</v>
      </c>
      <c r="D107" s="1842" t="s">
        <v>1144</v>
      </c>
      <c r="E107" s="1843"/>
      <c r="F107" s="1861" t="s">
        <v>1145</v>
      </c>
      <c r="G107" s="1862"/>
    </row>
    <row r="108" spans="3:7" hidden="1" x14ac:dyDescent="0.25">
      <c r="C108" s="370" t="s">
        <v>1146</v>
      </c>
      <c r="D108" s="1844">
        <f>IF(AND(C105&lt;&gt;D105,C106&gt;E97),"Ninguna manutenciòn",IF(AND(C105&lt;&gt;D105,C106&lt;C97),"Manutención pernoctando",IF(AND(C105&lt;&gt;D105,C106&gt;=C97),"1/2 Manutención",0)))</f>
        <v>0</v>
      </c>
      <c r="E108" s="1845"/>
      <c r="F108" s="1853" t="str">
        <f>IF(AND(F106&gt;E97),"Ninguna manutención",IF(AND(F106&lt;C97),"Manutención pernoctando",IF(AND(F106&gt;=C97),"1/2 Manutención",0)))</f>
        <v>Manutención pernoctando</v>
      </c>
      <c r="G108" s="1844"/>
    </row>
    <row r="109" spans="3:7" hidden="1" x14ac:dyDescent="0.25">
      <c r="C109" s="396" t="s">
        <v>1147</v>
      </c>
      <c r="D109" s="1846">
        <f>IF((D105-C105-1&gt;=1),"Manutención pernoctando",0)</f>
        <v>0</v>
      </c>
      <c r="E109" s="1845"/>
      <c r="F109" s="1621">
        <f>IF((G105-F935-1&gt;=1),"Manutención pernoctando",0)</f>
        <v>0</v>
      </c>
      <c r="G109" s="1844"/>
    </row>
    <row r="110" spans="3:7" hidden="1" x14ac:dyDescent="0.25">
      <c r="C110" s="370" t="s">
        <v>1148</v>
      </c>
      <c r="D110" s="1844">
        <f>IF(AND(C105&lt;&gt;D105,D106&lt;D97),"Ninguna manutención",IF(AND(C105&lt;&gt;D105,D106&gt;=D97,D106&lt;=E97),"1/2 Manutención",IF(AND(C105&lt;&gt;D105,D106&gt;E97),"Manutención sin pernoctar",0)))</f>
        <v>0</v>
      </c>
      <c r="E110" s="1845"/>
      <c r="F110" s="1853" t="str">
        <f>IF(AND(G106&lt;D97),"Ninguna manutención",IF(AND(G106&gt;=D97,G106&lt;=E97),"1/2 Manutención",IF(AND(G106&gt;E97),"Manutención sin pernoctar",0)))</f>
        <v>Ninguna manutención</v>
      </c>
      <c r="G110" s="1844"/>
    </row>
    <row r="111" spans="3:7" hidden="1" x14ac:dyDescent="0.25"/>
    <row r="112" spans="3:7" hidden="1" x14ac:dyDescent="0.25"/>
    <row r="113" spans="3:7" hidden="1" x14ac:dyDescent="0.25">
      <c r="C113" s="1847" t="s">
        <v>1149</v>
      </c>
      <c r="D113" s="1848"/>
      <c r="E113" s="1848"/>
      <c r="F113" s="1848"/>
      <c r="G113" s="1849"/>
    </row>
    <row r="114" spans="3:7" hidden="1" x14ac:dyDescent="0.25">
      <c r="C114" s="221" t="s">
        <v>1150</v>
      </c>
      <c r="D114" s="221" t="s">
        <v>1151</v>
      </c>
      <c r="E114" s="1850">
        <f>D40</f>
        <v>0</v>
      </c>
    </row>
    <row r="115" spans="3:7" hidden="1" x14ac:dyDescent="0.25">
      <c r="C115" s="389" t="str">
        <f>C35</f>
        <v>Según Factura</v>
      </c>
      <c r="D115" s="389" t="str">
        <f>C37</f>
        <v>Decreto: Completa</v>
      </c>
      <c r="E115" s="1851"/>
    </row>
    <row r="116" spans="3:7" hidden="1" x14ac:dyDescent="0.25">
      <c r="C116" s="390" t="str">
        <f>E35</f>
        <v>Nº de días</v>
      </c>
      <c r="D116" s="390">
        <f>E37</f>
        <v>0</v>
      </c>
      <c r="E116" s="1852"/>
    </row>
    <row r="117" spans="3:7" hidden="1" x14ac:dyDescent="0.25">
      <c r="C117" s="395" t="s">
        <v>1143</v>
      </c>
      <c r="D117" s="1842"/>
      <c r="E117" s="1843"/>
    </row>
    <row r="118" spans="3:7" hidden="1" x14ac:dyDescent="0.25">
      <c r="C118" s="370" t="s">
        <v>1146</v>
      </c>
      <c r="D118" s="1844" t="str">
        <f>IF(AND(C115&lt;&gt;C116&lt;C97),"Manutención pernoctando",IF(AND(C115&lt;&gt;D115,C116&gt;=C97),"1/2 Manutención",IF(AND(C115&lt;&gt;C116&gt;E97),"Ninguna manutenciòn",0)))</f>
        <v>1/2 Manutención</v>
      </c>
      <c r="E118" s="1845"/>
    </row>
    <row r="119" spans="3:7" hidden="1" x14ac:dyDescent="0.25">
      <c r="C119" s="396" t="s">
        <v>1147</v>
      </c>
      <c r="D119" s="1846" t="e">
        <f>IF((D115-C115-1&gt;=1),"Manutención pernoctando",0)</f>
        <v>#VALUE!</v>
      </c>
      <c r="E119" s="1845"/>
    </row>
    <row r="120" spans="3:7" hidden="1" x14ac:dyDescent="0.25">
      <c r="C120" s="370" t="s">
        <v>1148</v>
      </c>
      <c r="D120" s="1844" t="str">
        <f>IF(AND(C115&lt;&gt;D115,D116&lt;D97),"Ninguna manutención",IF(AND(C115&lt;&gt;D115,D116&gt;=D97,D116&lt;=E97),"1/2 Manutención",IF(AND(C115&lt;&gt;D115,D116&gt;E97),"Manutención sin pernoctar",0)))</f>
        <v>Ninguna manutención</v>
      </c>
      <c r="E120" s="1845"/>
    </row>
    <row r="121" spans="3:7" hidden="1" x14ac:dyDescent="0.25"/>
    <row r="122" spans="3:7" hidden="1" x14ac:dyDescent="0.25">
      <c r="D122" s="15" t="s">
        <v>293</v>
      </c>
      <c r="E122" s="15" t="s">
        <v>1152</v>
      </c>
    </row>
    <row r="123" spans="3:7" hidden="1" x14ac:dyDescent="0.25">
      <c r="D123" s="397">
        <v>36526</v>
      </c>
      <c r="E123" s="398">
        <v>4.1666666666666699E-2</v>
      </c>
    </row>
    <row r="124" spans="3:7" hidden="1" x14ac:dyDescent="0.25">
      <c r="D124" s="399">
        <v>46381</v>
      </c>
      <c r="E124" s="398">
        <v>1.04097222222222</v>
      </c>
    </row>
    <row r="125" spans="3:7" hidden="1" x14ac:dyDescent="0.25"/>
  </sheetData>
  <sheetProtection algorithmName="SHA-512" hashValue="69e5EtXMgOnqxMJ92f3wo7Cvg+Zhi8D4kpICU2Frdl8juycpj4LcWk+4Bo9JdDktzp5H73ZbT7o0MOCdJwPqlA==" saltValue="q7o6SBeCO6x6vTi6AKgYwg==" spinCount="100000" sheet="1" selectLockedCells="1"/>
  <mergeCells count="84">
    <mergeCell ref="R5:S5"/>
    <mergeCell ref="G36:H37"/>
    <mergeCell ref="D107:E107"/>
    <mergeCell ref="F107:G107"/>
    <mergeCell ref="F88:H88"/>
    <mergeCell ref="D90:H90"/>
    <mergeCell ref="C95:G95"/>
    <mergeCell ref="C96:G96"/>
    <mergeCell ref="C103:G103"/>
    <mergeCell ref="D61:H61"/>
    <mergeCell ref="D67:I67"/>
    <mergeCell ref="C69:E69"/>
    <mergeCell ref="E86:F86"/>
    <mergeCell ref="D87:F87"/>
    <mergeCell ref="C59:H59"/>
    <mergeCell ref="C55:D55"/>
    <mergeCell ref="C56:D56"/>
    <mergeCell ref="D117:E117"/>
    <mergeCell ref="D118:E118"/>
    <mergeCell ref="D119:E119"/>
    <mergeCell ref="D120:E120"/>
    <mergeCell ref="D108:E108"/>
    <mergeCell ref="D109:E109"/>
    <mergeCell ref="D110:E110"/>
    <mergeCell ref="C113:G113"/>
    <mergeCell ref="E114:E116"/>
    <mergeCell ref="F108:G108"/>
    <mergeCell ref="F109:G109"/>
    <mergeCell ref="F110:G110"/>
    <mergeCell ref="C70:D70"/>
    <mergeCell ref="G31:H31"/>
    <mergeCell ref="C51:H51"/>
    <mergeCell ref="C35:D35"/>
    <mergeCell ref="C36:D36"/>
    <mergeCell ref="C39:D39"/>
    <mergeCell ref="F41:H41"/>
    <mergeCell ref="C37:D37"/>
    <mergeCell ref="C34:D34"/>
    <mergeCell ref="C43:H43"/>
    <mergeCell ref="B44:I44"/>
    <mergeCell ref="B45:I45"/>
    <mergeCell ref="C50:H50"/>
    <mergeCell ref="I36:I37"/>
    <mergeCell ref="C38:H38"/>
    <mergeCell ref="E34:F34"/>
    <mergeCell ref="G34:H35"/>
    <mergeCell ref="Q24:R24"/>
    <mergeCell ref="H25:H26"/>
    <mergeCell ref="C29:D29"/>
    <mergeCell ref="E29:I29"/>
    <mergeCell ref="J26:M26"/>
    <mergeCell ref="C27:H27"/>
    <mergeCell ref="F2:G2"/>
    <mergeCell ref="C3:H3"/>
    <mergeCell ref="C4:I4"/>
    <mergeCell ref="C7:I7"/>
    <mergeCell ref="C10:I10"/>
    <mergeCell ref="M37:M39"/>
    <mergeCell ref="C11:H11"/>
    <mergeCell ref="C48:D48"/>
    <mergeCell ref="E48:H48"/>
    <mergeCell ref="C12:I12"/>
    <mergeCell ref="C13:I13"/>
    <mergeCell ref="C14:I14"/>
    <mergeCell ref="C15:I15"/>
    <mergeCell ref="C16:F16"/>
    <mergeCell ref="H16:I16"/>
    <mergeCell ref="F32:H32"/>
    <mergeCell ref="C17:I17"/>
    <mergeCell ref="C18:I18"/>
    <mergeCell ref="C19:I19"/>
    <mergeCell ref="G30:H30"/>
    <mergeCell ref="C31:D31"/>
    <mergeCell ref="AN16:AQ17"/>
    <mergeCell ref="AN18:AQ19"/>
    <mergeCell ref="AN22:AQ23"/>
    <mergeCell ref="AN28:AQ29"/>
    <mergeCell ref="AM36:AS41"/>
    <mergeCell ref="AN25:AS26"/>
    <mergeCell ref="AN61:AT65"/>
    <mergeCell ref="AN66:AQ67"/>
    <mergeCell ref="AN85:AR86"/>
    <mergeCell ref="AN52:AP53"/>
    <mergeCell ref="AN56:AS60"/>
  </mergeCells>
  <conditionalFormatting sqref="B17">
    <cfRule type="expression" dxfId="14" priority="30">
      <formula>$B$17="Falta indicar la hora"</formula>
    </cfRule>
  </conditionalFormatting>
  <conditionalFormatting sqref="B18:B19">
    <cfRule type="expression" dxfId="13" priority="28">
      <formula>$B$18="Falta indicar la hora"</formula>
    </cfRule>
  </conditionalFormatting>
  <conditionalFormatting sqref="C29">
    <cfRule type="expression" dxfId="12" priority="12">
      <formula>$E$29="Debe elegir primero el Decreto en: Elegir Decreto  ▼"</formula>
    </cfRule>
  </conditionalFormatting>
  <conditionalFormatting sqref="C11:H11">
    <cfRule type="expression" dxfId="11" priority="26">
      <formula>$C$11&lt;&gt;""</formula>
    </cfRule>
  </conditionalFormatting>
  <conditionalFormatting sqref="C7:I8">
    <cfRule type="expression" dxfId="10" priority="27">
      <formula>$C$7&lt;&gt;""</formula>
    </cfRule>
  </conditionalFormatting>
  <conditionalFormatting sqref="E29:I29">
    <cfRule type="expression" dxfId="9" priority="18">
      <formula>$E$29&lt;&gt;""</formula>
    </cfRule>
  </conditionalFormatting>
  <conditionalFormatting sqref="I24">
    <cfRule type="expression" dxfId="8" priority="11">
      <formula>$I$24&gt;0</formula>
    </cfRule>
  </conditionalFormatting>
  <conditionalFormatting sqref="I26">
    <cfRule type="expression" dxfId="7" priority="10">
      <formula>$I$26&gt;0</formula>
    </cfRule>
  </conditionalFormatting>
  <conditionalFormatting sqref="I31">
    <cfRule type="expression" dxfId="6" priority="8">
      <formula>$C$31=R7</formula>
    </cfRule>
    <cfRule type="expression" dxfId="5" priority="9">
      <formula>$C$31=R8</formula>
    </cfRule>
  </conditionalFormatting>
  <conditionalFormatting sqref="I35">
    <cfRule type="expression" dxfId="4" priority="4">
      <formula>$C$34=R7</formula>
    </cfRule>
    <cfRule type="expression" dxfId="3" priority="5">
      <formula>$C$34=R8</formula>
    </cfRule>
  </conditionalFormatting>
  <conditionalFormatting sqref="I36:I37">
    <cfRule type="expression" dxfId="2" priority="1">
      <formula>$I$36="Borre el importe de la factura"</formula>
    </cfRule>
    <cfRule type="expression" dxfId="1" priority="2">
      <formula>$C$38&lt;&gt;""</formula>
    </cfRule>
    <cfRule type="expression" dxfId="0" priority="3">
      <formula>$C$34=R7</formula>
    </cfRule>
  </conditionalFormatting>
  <dataValidations count="6">
    <dataValidation allowBlank="1" showDropDown="1" showInputMessage="1" showErrorMessage="1" sqref="G39" xr:uid="{00000000-0002-0000-0E00-000000000000}"/>
    <dataValidation type="list" allowBlank="1" showInputMessage="1" showErrorMessage="1" sqref="C31:D31" xr:uid="{00000000-0002-0000-0E00-000001000000}">
      <formula1>$R$6:$R$10</formula1>
    </dataValidation>
    <dataValidation type="list" allowBlank="1" showInputMessage="1" showErrorMessage="1" sqref="C34:D34" xr:uid="{00000000-0002-0000-0E00-000002000000}">
      <formula1>$R$14:$R$16</formula1>
    </dataValidation>
    <dataValidation type="list" allowBlank="1" showInputMessage="1" showErrorMessage="1" sqref="E34:F34" xr:uid="{00000000-0002-0000-0E00-000003000000}">
      <formula1>$L$44:$L$46</formula1>
    </dataValidation>
    <dataValidation type="list" allowBlank="1" showInputMessage="1" showErrorMessage="1" sqref="C16:F16" xr:uid="{00000000-0002-0000-0E00-000004000000}">
      <formula1>$K$15:$K$17</formula1>
    </dataValidation>
    <dataValidation type="list" allowBlank="1" showInputMessage="1" showErrorMessage="1" sqref="C29" xr:uid="{00000000-0002-0000-0E00-000005000000}">
      <formula1>$R$2:$R$5</formula1>
    </dataValidation>
  </dataValidations>
  <hyperlinks>
    <hyperlink ref="E86" r:id="rId1" xr:uid="{00000000-0004-0000-0E00-000000000000}"/>
    <hyperlink ref="D87" r:id="rId2" xr:uid="{00000000-0004-0000-0E00-000001000000}"/>
    <hyperlink ref="B53" r:id="rId3" xr:uid="{00000000-0004-0000-0E00-000002000000}"/>
    <hyperlink ref="F39" location="IRPF!I4" display="IRPF (que aplica)" xr:uid="{00000000-0004-0000-0E00-000003000000}"/>
    <hyperlink ref="B27" location="GLOBALIA!A1" display="Haga clic para el cálculo de Globalia" xr:uid="{00000000-0004-0000-0E00-000004000000}"/>
    <hyperlink ref="B32" location="GLOBALIA!A1" display="Haga clic para el cálculo de Globalia" xr:uid="{00000000-0004-0000-0E00-000005000000}"/>
    <hyperlink ref="G85" r:id="rId4" xr:uid="{00000000-0004-0000-0E00-000006000000}"/>
    <hyperlink ref="J85" r:id="rId5" xr:uid="{00000000-0004-0000-0E00-000007000000}"/>
  </hyperlinks>
  <printOptions horizontalCentered="1" verticalCentered="1"/>
  <pageMargins left="0" right="0" top="0" bottom="0" header="0" footer="0"/>
  <pageSetup paperSize="9" scale="59" orientation="portrait" blackAndWhite="1" r:id="rId6"/>
  <colBreaks count="1" manualBreakCount="1">
    <brk id="10" max="1048575" man="1"/>
  </colBreaks>
  <drawing r:id="rId7"/>
  <legacyDrawing r:id="rId8"/>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C3:M21"/>
  <sheetViews>
    <sheetView showGridLines="0" workbookViewId="0">
      <selection activeCell="I4" sqref="I4:M4"/>
    </sheetView>
  </sheetViews>
  <sheetFormatPr baseColWidth="10" defaultColWidth="11.44140625" defaultRowHeight="13.2" x14ac:dyDescent="0.25"/>
  <sheetData>
    <row r="3" spans="3:13" ht="13.8" thickBot="1" x14ac:dyDescent="0.3"/>
    <row r="4" spans="3:13" ht="14.4" thickTop="1" thickBot="1" x14ac:dyDescent="0.3">
      <c r="C4" s="1872"/>
      <c r="D4" s="1873"/>
      <c r="E4" s="1873"/>
      <c r="F4" s="1873"/>
      <c r="G4" s="1874"/>
      <c r="I4" s="1869" t="s">
        <v>1153</v>
      </c>
      <c r="J4" s="1870"/>
      <c r="K4" s="1870"/>
      <c r="L4" s="1870"/>
      <c r="M4" s="1871"/>
    </row>
    <row r="5" spans="3:13" ht="14.4" thickTop="1" thickBot="1" x14ac:dyDescent="0.3">
      <c r="C5" s="1875" t="s">
        <v>1154</v>
      </c>
      <c r="D5" s="1876"/>
      <c r="E5" s="1876"/>
      <c r="F5" s="1876"/>
      <c r="G5" s="1877"/>
    </row>
    <row r="6" spans="3:13" ht="14.4" thickTop="1" thickBot="1" x14ac:dyDescent="0.3">
      <c r="C6" s="463" t="s">
        <v>1155</v>
      </c>
      <c r="D6" s="1878" t="s">
        <v>1156</v>
      </c>
      <c r="E6" s="1879"/>
      <c r="F6" s="1879"/>
      <c r="G6" s="1880"/>
      <c r="I6" s="1884" t="s">
        <v>1157</v>
      </c>
      <c r="J6" s="1885"/>
      <c r="K6" s="1885"/>
      <c r="L6" s="1886"/>
    </row>
    <row r="7" spans="3:13" ht="13.8" thickTop="1" x14ac:dyDescent="0.25">
      <c r="C7" s="464"/>
      <c r="G7" s="277"/>
      <c r="I7" s="475"/>
    </row>
    <row r="8" spans="3:13" x14ac:dyDescent="0.25">
      <c r="C8" s="1881" t="s">
        <v>1158</v>
      </c>
      <c r="D8" s="1882"/>
      <c r="E8" s="1882"/>
      <c r="F8" s="1882"/>
      <c r="G8" s="1883"/>
    </row>
    <row r="9" spans="3:13" x14ac:dyDescent="0.25">
      <c r="C9" s="464"/>
      <c r="G9" s="465"/>
      <c r="I9" s="472"/>
    </row>
    <row r="10" spans="3:13" x14ac:dyDescent="0.25">
      <c r="C10" s="1899">
        <v>0</v>
      </c>
      <c r="D10" s="1902" t="s">
        <v>1159</v>
      </c>
      <c r="E10" s="1903"/>
      <c r="F10" s="1903"/>
      <c r="G10" s="1904"/>
    </row>
    <row r="11" spans="3:13" x14ac:dyDescent="0.25">
      <c r="C11" s="1900"/>
      <c r="D11" s="1905" t="s">
        <v>1160</v>
      </c>
      <c r="E11" s="1906"/>
      <c r="F11" s="1906"/>
      <c r="G11" s="1907"/>
      <c r="I11" s="474"/>
      <c r="J11" s="431"/>
    </row>
    <row r="12" spans="3:13" x14ac:dyDescent="0.25">
      <c r="C12" s="1900"/>
      <c r="D12" s="1905" t="s">
        <v>1161</v>
      </c>
      <c r="E12" s="1906"/>
      <c r="F12" s="1906"/>
      <c r="G12" s="1907"/>
    </row>
    <row r="13" spans="3:13" x14ac:dyDescent="0.25">
      <c r="C13" s="1901"/>
      <c r="D13" s="466" t="s">
        <v>1162</v>
      </c>
      <c r="E13" s="467"/>
      <c r="F13" s="467"/>
      <c r="G13" s="468"/>
      <c r="I13" s="472"/>
    </row>
    <row r="14" spans="3:13" x14ac:dyDescent="0.25">
      <c r="C14" s="464"/>
      <c r="D14" s="1908"/>
      <c r="E14" s="1909"/>
      <c r="F14" s="1909"/>
      <c r="G14" s="277"/>
    </row>
    <row r="15" spans="3:13" x14ac:dyDescent="0.25">
      <c r="C15" s="1910"/>
      <c r="D15" s="1912" t="s">
        <v>1163</v>
      </c>
      <c r="E15" s="1913"/>
      <c r="F15" s="1913"/>
      <c r="G15" s="1914"/>
    </row>
    <row r="16" spans="3:13" x14ac:dyDescent="0.25">
      <c r="C16" s="1911"/>
      <c r="D16" s="1887" t="s">
        <v>1164</v>
      </c>
      <c r="E16" s="1915"/>
      <c r="F16" s="1915"/>
      <c r="G16" s="1916"/>
    </row>
    <row r="17" spans="3:7" x14ac:dyDescent="0.25">
      <c r="C17" s="1911"/>
      <c r="D17" s="1887" t="s">
        <v>1165</v>
      </c>
      <c r="E17" s="1888"/>
      <c r="F17" s="1888"/>
      <c r="G17" s="1889"/>
    </row>
    <row r="18" spans="3:7" x14ac:dyDescent="0.25">
      <c r="C18" s="1911"/>
      <c r="D18" s="1890"/>
      <c r="E18" s="1891"/>
      <c r="F18" s="1891"/>
      <c r="G18" s="1892"/>
    </row>
    <row r="19" spans="3:7" x14ac:dyDescent="0.25">
      <c r="C19" s="1893"/>
      <c r="D19" s="1894"/>
      <c r="E19" s="1894"/>
      <c r="F19" s="1894"/>
      <c r="G19" s="1895"/>
    </row>
    <row r="20" spans="3:7" x14ac:dyDescent="0.25">
      <c r="C20" s="469">
        <v>0.24</v>
      </c>
      <c r="D20" s="1896" t="s">
        <v>1166</v>
      </c>
      <c r="E20" s="1897"/>
      <c r="F20" s="1897"/>
      <c r="G20" s="1898"/>
    </row>
    <row r="21" spans="3:7" x14ac:dyDescent="0.25">
      <c r="C21" s="463"/>
      <c r="D21" s="470"/>
      <c r="E21" s="471"/>
      <c r="F21" s="471"/>
      <c r="G21" s="465"/>
    </row>
  </sheetData>
  <sheetProtection password="A7D8" sheet="1" objects="1" scenarios="1" selectLockedCells="1"/>
  <mergeCells count="18">
    <mergeCell ref="D17:G17"/>
    <mergeCell ref="D18:G18"/>
    <mergeCell ref="C19:G19"/>
    <mergeCell ref="D20:G20"/>
    <mergeCell ref="C10:C13"/>
    <mergeCell ref="D10:G10"/>
    <mergeCell ref="D11:G11"/>
    <mergeCell ref="D12:G12"/>
    <mergeCell ref="D14:F14"/>
    <mergeCell ref="C15:C18"/>
    <mergeCell ref="D15:G15"/>
    <mergeCell ref="D16:G16"/>
    <mergeCell ref="I4:M4"/>
    <mergeCell ref="C4:G4"/>
    <mergeCell ref="C5:G5"/>
    <mergeCell ref="D6:G6"/>
    <mergeCell ref="C8:G8"/>
    <mergeCell ref="I6:L6"/>
  </mergeCells>
  <hyperlinks>
    <hyperlink ref="C5:G5" r:id="rId1" display="Ley 26/2014 de 27 de noviembre" xr:uid="{00000000-0004-0000-0F00-000000000000}"/>
    <hyperlink ref="I4" r:id="rId2" display="CONSULTA CON LA AGENCIA TRIBUTARIA" xr:uid="{00000000-0004-0000-0F00-000001000000}"/>
    <hyperlink ref="I4:L4" r:id="rId3" display="CONVENIO DE DOBLE IMPOSICIÓN FIRMADO CON ESPAÑA" xr:uid="{00000000-0004-0000-0F00-000002000000}"/>
    <hyperlink ref="I6:L6" r:id="rId4" display="Trabajo realizado en España por un no residente" xr:uid="{00000000-0004-0000-0F00-000003000000}"/>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a5aa9a-fa2e-4016-8d3c-1db04e5f612b">
      <Terms xmlns="http://schemas.microsoft.com/office/infopath/2007/PartnerControls"/>
    </lcf76f155ced4ddcb4097134ff3c332f>
    <TaxCatchAll xmlns="c8d5bc11-b999-465f-93f7-8f5bc6bb6a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E96F2EA2724FF4381E6656134A33D54" ma:contentTypeVersion="14" ma:contentTypeDescription="Crear nuevo documento." ma:contentTypeScope="" ma:versionID="c80a94c9833957c92ec274563b0f0c8b">
  <xsd:schema xmlns:xsd="http://www.w3.org/2001/XMLSchema" xmlns:xs="http://www.w3.org/2001/XMLSchema" xmlns:p="http://schemas.microsoft.com/office/2006/metadata/properties" xmlns:ns2="b2a5aa9a-fa2e-4016-8d3c-1db04e5f612b" xmlns:ns3="c8d5bc11-b999-465f-93f7-8f5bc6bb6af9" targetNamespace="http://schemas.microsoft.com/office/2006/metadata/properties" ma:root="true" ma:fieldsID="edd99d03938372b964b3e27b7fcff312" ns2:_="" ns3:_="">
    <xsd:import namespace="b2a5aa9a-fa2e-4016-8d3c-1db04e5f612b"/>
    <xsd:import namespace="c8d5bc11-b999-465f-93f7-8f5bc6bb6a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a5aa9a-fa2e-4016-8d3c-1db04e5f6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5543dc2c-c282-4bcc-a46d-38262559636a"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d5bc11-b999-465f-93f7-8f5bc6bb6af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f065bd-df27-41ae-a14d-30d62ffe5175}" ma:internalName="TaxCatchAll" ma:showField="CatchAllData" ma:web="c8d5bc11-b999-465f-93f7-8f5bc6bb6a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D562DA-88CE-4608-8E88-6FF35ADA4ECD}">
  <ds:schemaRefs>
    <ds:schemaRef ds:uri="http://schemas.microsoft.com/office/2006/metadata/properties"/>
    <ds:schemaRef ds:uri="http://purl.org/dc/terms/"/>
    <ds:schemaRef ds:uri="http://purl.org/dc/dcmitype/"/>
    <ds:schemaRef ds:uri="c8d5bc11-b999-465f-93f7-8f5bc6bb6af9"/>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b2a5aa9a-fa2e-4016-8d3c-1db04e5f612b"/>
    <ds:schemaRef ds:uri="http://www.w3.org/XML/1998/namespace"/>
  </ds:schemaRefs>
</ds:datastoreItem>
</file>

<file path=customXml/itemProps2.xml><?xml version="1.0" encoding="utf-8"?>
<ds:datastoreItem xmlns:ds="http://schemas.openxmlformats.org/officeDocument/2006/customXml" ds:itemID="{369E1412-1203-4BD4-A42A-D6E72EB51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a5aa9a-fa2e-4016-8d3c-1db04e5f612b"/>
    <ds:schemaRef ds:uri="c8d5bc11-b999-465f-93f7-8f5bc6bb6a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4A78D4-C1DC-4911-AF9B-8C6046C57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11</vt:i4>
      </vt:variant>
    </vt:vector>
  </HeadingPairs>
  <TitlesOfParts>
    <vt:vector size="27" baseType="lpstr">
      <vt:lpstr>INICIO</vt:lpstr>
      <vt:lpstr>Ayuda</vt:lpstr>
      <vt:lpstr>FORMULARIO</vt:lpstr>
      <vt:lpstr>ANEXO</vt:lpstr>
      <vt:lpstr>LIQUIDACIÓN-GASTOS</vt:lpstr>
      <vt:lpstr>CALCULOS DE LAS DIETAS</vt:lpstr>
      <vt:lpstr>Renuncia</vt:lpstr>
      <vt:lpstr>CALCULO NUEVO DECRETO</vt:lpstr>
      <vt:lpstr>VARIOS PAÍSES EXTRANJERO</vt:lpstr>
      <vt:lpstr>INSTRUCCIONES</vt:lpstr>
      <vt:lpstr>Información de interés</vt:lpstr>
      <vt:lpstr>IMPRIMIR EN UN  MAC</vt:lpstr>
      <vt:lpstr>Declaracion responsable</vt:lpstr>
      <vt:lpstr>KM</vt:lpstr>
      <vt:lpstr>CONFERENCIANTES</vt:lpstr>
      <vt:lpstr>IRPF</vt:lpstr>
      <vt:lpstr>A</vt:lpstr>
      <vt:lpstr>CONFERENCIANTES!Área_de_impresión</vt:lpstr>
      <vt:lpstr>FORMULARIO!Área_de_impresión</vt:lpstr>
      <vt:lpstr>'LIQUIDACIÓN-GASTOS'!Área_de_impresión</vt:lpstr>
      <vt:lpstr>Renuncia!Área_de_impresión</vt:lpstr>
      <vt:lpstr>'VARIOS PAÍSES EXTRANJERO'!Área_de_impresión</vt:lpstr>
      <vt:lpstr>BORRADOR</vt:lpstr>
      <vt:lpstr>EXPERIMENTALLINEA2</vt:lpstr>
      <vt:lpstr>NORMATIVA</vt:lpstr>
      <vt:lpstr>NORMATIVAS</vt:lpstr>
      <vt:lpstr>PAISES</vt:lpstr>
    </vt:vector>
  </TitlesOfParts>
  <Manager/>
  <Company>INVESTIGACION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rafaela</dc:title>
  <dc:subject/>
  <dc:creator>RAFAELA MORON PRIMO</dc:creator>
  <cp:keywords/>
  <dc:description>V.1</dc:description>
  <cp:lastModifiedBy>RAFAELA MORON PRIMO</cp:lastModifiedBy>
  <cp:revision/>
  <cp:lastPrinted>2026-09-22T16:38:17Z</cp:lastPrinted>
  <dcterms:created xsi:type="dcterms:W3CDTF">2007-01-15T11:14:33Z</dcterms:created>
  <dcterms:modified xsi:type="dcterms:W3CDTF">2026-09-22T16:39:08Z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0x010100DE96F2EA2724FF4381E6656134A33D54</vt:lpwstr>
  </property>
</Properties>
</file>